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yPC\Desktop\"/>
    </mc:Choice>
  </mc:AlternateContent>
  <bookViews>
    <workbookView xWindow="0" yWindow="0" windowWidth="16380" windowHeight="8190" tabRatio="500"/>
  </bookViews>
  <sheets>
    <sheet name="Setup" sheetId="2" r:id="rId1"/>
    <sheet name="Map Guide" sheetId="3" r:id="rId2"/>
    <sheet name="Map" sheetId="4" r:id="rId3"/>
    <sheet name="TB" sheetId="5" r:id="rId4"/>
    <sheet name="Calc" sheetId="6" r:id="rId5"/>
    <sheet name="Capital" sheetId="7" r:id="rId6"/>
    <sheet name="Dep" sheetId="8" r:id="rId7"/>
    <sheet name="BS" sheetId="9" r:id="rId8"/>
    <sheet name="PL" sheetId="10" r:id="rId9"/>
    <sheet name="Notes-BS" sheetId="11" r:id="rId10"/>
    <sheet name="Notes-PL" sheetId="12" r:id="rId11"/>
    <sheet name="Policies" sheetId="13" r:id="rId12"/>
    <sheet name="CashFlow" sheetId="14" r:id="rId13"/>
    <sheet name="Checks" sheetId="15" r:id="rId14"/>
  </sheets>
  <definedNames>
    <definedName name="BSD">Setup!$C$11</definedName>
    <definedName name="CAPLBL">Setup!$C$44</definedName>
    <definedName name="ETYPE">Setup!$C$6</definedName>
    <definedName name="PBSD">Setup!$C$13</definedName>
    <definedName name="RND">Setup!$C$18</definedName>
    <definedName name="SIGTTL">Setup!$C$45</definedName>
    <definedName name="XFRLBL">Setup!$C$46</definedName>
  </definedNames>
  <calcPr calcId="152511"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C14" i="15" l="1"/>
  <c r="D14" i="15" s="1"/>
  <c r="B3" i="14"/>
  <c r="B2" i="14"/>
  <c r="B21" i="13"/>
  <c r="D96" i="12"/>
  <c r="C96" i="12"/>
  <c r="D86" i="12"/>
  <c r="C86" i="12"/>
  <c r="D76" i="12"/>
  <c r="C76" i="12"/>
  <c r="D66" i="12"/>
  <c r="C66" i="12"/>
  <c r="D56" i="12"/>
  <c r="C56" i="12"/>
  <c r="D46" i="12"/>
  <c r="C46" i="12"/>
  <c r="D36" i="12"/>
  <c r="C36" i="12"/>
  <c r="D26" i="12"/>
  <c r="C26" i="12"/>
  <c r="D16" i="12"/>
  <c r="C16" i="12"/>
  <c r="D6" i="12"/>
  <c r="C6" i="12"/>
  <c r="B213" i="11"/>
  <c r="D203" i="11"/>
  <c r="C203" i="11"/>
  <c r="D193" i="11"/>
  <c r="C193" i="11"/>
  <c r="D183" i="11"/>
  <c r="C183" i="11"/>
  <c r="D173" i="11"/>
  <c r="C173" i="11"/>
  <c r="D163" i="11"/>
  <c r="C163" i="11"/>
  <c r="D153" i="11"/>
  <c r="C153" i="11"/>
  <c r="D143" i="11"/>
  <c r="C143" i="11"/>
  <c r="D133" i="11"/>
  <c r="C133" i="11"/>
  <c r="D123" i="11"/>
  <c r="C123" i="11"/>
  <c r="G117" i="11"/>
  <c r="F117" i="11"/>
  <c r="E117" i="11"/>
  <c r="D117" i="11"/>
  <c r="C117" i="11"/>
  <c r="B117" i="11"/>
  <c r="G116" i="11"/>
  <c r="F116" i="11"/>
  <c r="E116" i="11"/>
  <c r="D116" i="11"/>
  <c r="C116" i="11"/>
  <c r="B116" i="11"/>
  <c r="B115" i="11"/>
  <c r="B114" i="11"/>
  <c r="B113" i="11"/>
  <c r="B112" i="11"/>
  <c r="B111" i="11"/>
  <c r="B110" i="11"/>
  <c r="B109" i="11"/>
  <c r="B108" i="11"/>
  <c r="D101" i="11"/>
  <c r="C101" i="11"/>
  <c r="D88" i="11"/>
  <c r="C88" i="11"/>
  <c r="D78" i="11"/>
  <c r="C78" i="11"/>
  <c r="D68" i="11"/>
  <c r="C68" i="11"/>
  <c r="D58" i="11"/>
  <c r="C58" i="11"/>
  <c r="D48" i="11"/>
  <c r="C48" i="11"/>
  <c r="D38" i="11"/>
  <c r="C38" i="11"/>
  <c r="D28" i="11"/>
  <c r="C28" i="11"/>
  <c r="D18" i="11"/>
  <c r="C18" i="11"/>
  <c r="B15" i="11"/>
  <c r="I12" i="11"/>
  <c r="D12" i="11"/>
  <c r="H11" i="11"/>
  <c r="B11" i="11"/>
  <c r="F10" i="11"/>
  <c r="J9" i="11"/>
  <c r="D9" i="11"/>
  <c r="B34" i="10"/>
  <c r="B32" i="10"/>
  <c r="D31" i="10"/>
  <c r="B31" i="10"/>
  <c r="B19" i="10"/>
  <c r="E5" i="10"/>
  <c r="D5" i="10"/>
  <c r="B3" i="10"/>
  <c r="B2" i="10"/>
  <c r="B53" i="9"/>
  <c r="B51" i="9"/>
  <c r="D50" i="9"/>
  <c r="B50" i="9"/>
  <c r="B12" i="9"/>
  <c r="E5" i="9"/>
  <c r="D5" i="9"/>
  <c r="B4" i="9"/>
  <c r="B3" i="9"/>
  <c r="B2" i="9"/>
  <c r="F16" i="8"/>
  <c r="E16" i="8"/>
  <c r="D16" i="8"/>
  <c r="C16" i="8"/>
  <c r="H15" i="8"/>
  <c r="G15" i="8"/>
  <c r="H14" i="8"/>
  <c r="G14" i="8"/>
  <c r="H13" i="8"/>
  <c r="G13" i="8"/>
  <c r="G12" i="8"/>
  <c r="H12" i="8" s="1"/>
  <c r="H11" i="8"/>
  <c r="G11" i="8"/>
  <c r="G10" i="8"/>
  <c r="H9" i="8"/>
  <c r="G9" i="8"/>
  <c r="G8" i="8"/>
  <c r="H7" i="8"/>
  <c r="G7" i="8"/>
  <c r="G6" i="8"/>
  <c r="A3" i="8"/>
  <c r="A2" i="8"/>
  <c r="D21" i="7"/>
  <c r="G12" i="7"/>
  <c r="F12" i="7"/>
  <c r="E12" i="7"/>
  <c r="D12" i="7"/>
  <c r="C12" i="7"/>
  <c r="I11" i="7"/>
  <c r="A11" i="7"/>
  <c r="I10" i="7"/>
  <c r="A10" i="7"/>
  <c r="I9" i="7"/>
  <c r="A9" i="7"/>
  <c r="I8" i="7"/>
  <c r="A8" i="7"/>
  <c r="A7" i="7"/>
  <c r="A6" i="7"/>
  <c r="A2" i="7"/>
  <c r="C41" i="6"/>
  <c r="B41" i="6"/>
  <c r="D25" i="10" s="1"/>
  <c r="C40" i="6"/>
  <c r="B40" i="6"/>
  <c r="C39" i="6"/>
  <c r="B39" i="6"/>
  <c r="C38" i="6"/>
  <c r="B38" i="6"/>
  <c r="C37" i="6"/>
  <c r="B37" i="6"/>
  <c r="C36" i="6"/>
  <c r="B36" i="6"/>
  <c r="C35" i="6"/>
  <c r="B35" i="6"/>
  <c r="C34" i="6"/>
  <c r="E14" i="10" s="1"/>
  <c r="B34" i="6"/>
  <c r="C33" i="6"/>
  <c r="B33" i="6"/>
  <c r="C32" i="6"/>
  <c r="B32" i="6"/>
  <c r="C31" i="6"/>
  <c r="B31" i="6"/>
  <c r="C30" i="6"/>
  <c r="B30" i="6"/>
  <c r="C29" i="6"/>
  <c r="B29" i="6"/>
  <c r="C28" i="6"/>
  <c r="B28" i="6"/>
  <c r="C27" i="6"/>
  <c r="B27" i="6"/>
  <c r="C26" i="6"/>
  <c r="B26" i="6"/>
  <c r="C25" i="6"/>
  <c r="B25" i="6"/>
  <c r="C24" i="6"/>
  <c r="B24" i="6"/>
  <c r="C23" i="6"/>
  <c r="B23" i="6"/>
  <c r="D38" i="9" s="1"/>
  <c r="C22" i="6"/>
  <c r="B22" i="6"/>
  <c r="C21" i="6"/>
  <c r="B21" i="6"/>
  <c r="D35" i="9" s="1"/>
  <c r="C20" i="6"/>
  <c r="B20" i="6"/>
  <c r="C19" i="6"/>
  <c r="E33" i="9" s="1"/>
  <c r="B19" i="6"/>
  <c r="C18" i="6"/>
  <c r="B18" i="6"/>
  <c r="C17" i="6"/>
  <c r="E31" i="9" s="1"/>
  <c r="B17" i="6"/>
  <c r="D31" i="9" s="1"/>
  <c r="C16" i="6"/>
  <c r="B16" i="6"/>
  <c r="C15" i="6"/>
  <c r="E29" i="9" s="1"/>
  <c r="B15" i="6"/>
  <c r="D29" i="9" s="1"/>
  <c r="C14" i="6"/>
  <c r="B14" i="6"/>
  <c r="C13" i="6"/>
  <c r="B13" i="6"/>
  <c r="C12" i="6"/>
  <c r="B12" i="6"/>
  <c r="C11" i="6"/>
  <c r="B11" i="6"/>
  <c r="C10" i="6"/>
  <c r="B10" i="6"/>
  <c r="C9" i="6"/>
  <c r="B9" i="6"/>
  <c r="C8" i="6"/>
  <c r="B8" i="6"/>
  <c r="C7" i="6"/>
  <c r="B7" i="6"/>
  <c r="C55" i="11" s="1"/>
  <c r="C6" i="6"/>
  <c r="B6" i="6"/>
  <c r="C5" i="6"/>
  <c r="B5" i="6"/>
  <c r="C4" i="6"/>
  <c r="B4" i="6"/>
  <c r="C3" i="6"/>
  <c r="B3" i="6"/>
  <c r="C2" i="6"/>
  <c r="B2" i="6"/>
  <c r="B228" i="5"/>
  <c r="C7" i="15" s="1"/>
  <c r="D7" i="15" s="1"/>
  <c r="D227" i="5"/>
  <c r="C6" i="15" s="1"/>
  <c r="D6" i="15" s="1"/>
  <c r="B227" i="5"/>
  <c r="C5" i="15" s="1"/>
  <c r="D5" i="15" s="1"/>
  <c r="H225" i="5"/>
  <c r="G225" i="5"/>
  <c r="H224" i="5"/>
  <c r="G224" i="5"/>
  <c r="H223" i="5"/>
  <c r="G223" i="5"/>
  <c r="H222" i="5"/>
  <c r="G222" i="5"/>
  <c r="H221" i="5"/>
  <c r="G221" i="5"/>
  <c r="H220" i="5"/>
  <c r="G220" i="5"/>
  <c r="H219" i="5"/>
  <c r="G219" i="5"/>
  <c r="H218" i="5"/>
  <c r="G218" i="5"/>
  <c r="H217" i="5"/>
  <c r="G217" i="5"/>
  <c r="H216" i="5"/>
  <c r="G216" i="5"/>
  <c r="H215" i="5"/>
  <c r="G215" i="5"/>
  <c r="H214" i="5"/>
  <c r="G214" i="5"/>
  <c r="H213" i="5"/>
  <c r="G213" i="5"/>
  <c r="H212" i="5"/>
  <c r="G212" i="5"/>
  <c r="H211" i="5"/>
  <c r="G211" i="5"/>
  <c r="H210" i="5"/>
  <c r="G210" i="5"/>
  <c r="H209" i="5"/>
  <c r="G209" i="5"/>
  <c r="H208" i="5"/>
  <c r="G208" i="5"/>
  <c r="H207" i="5"/>
  <c r="G207" i="5"/>
  <c r="H206" i="5"/>
  <c r="G206" i="5"/>
  <c r="H205" i="5"/>
  <c r="G205" i="5"/>
  <c r="H204" i="5"/>
  <c r="G204" i="5"/>
  <c r="H203" i="5"/>
  <c r="G203" i="5"/>
  <c r="H202" i="5"/>
  <c r="G202" i="5"/>
  <c r="H201" i="5"/>
  <c r="G201" i="5"/>
  <c r="H200" i="5"/>
  <c r="G200" i="5"/>
  <c r="H199" i="5"/>
  <c r="G199" i="5"/>
  <c r="H198" i="5"/>
  <c r="G198" i="5"/>
  <c r="H197" i="5"/>
  <c r="G197" i="5"/>
  <c r="H196" i="5"/>
  <c r="G196" i="5"/>
  <c r="H195" i="5"/>
  <c r="G195" i="5"/>
  <c r="H194" i="5"/>
  <c r="G194" i="5"/>
  <c r="H193" i="5"/>
  <c r="G193" i="5"/>
  <c r="H192" i="5"/>
  <c r="G192" i="5"/>
  <c r="H191" i="5"/>
  <c r="G191" i="5"/>
  <c r="H190" i="5"/>
  <c r="G190" i="5"/>
  <c r="H189" i="5"/>
  <c r="G189" i="5"/>
  <c r="H188" i="5"/>
  <c r="G188" i="5"/>
  <c r="H187" i="5"/>
  <c r="G187" i="5"/>
  <c r="H186" i="5"/>
  <c r="G186" i="5"/>
  <c r="H185" i="5"/>
  <c r="G185" i="5"/>
  <c r="H184" i="5"/>
  <c r="G184" i="5"/>
  <c r="H183" i="5"/>
  <c r="G183" i="5"/>
  <c r="H182" i="5"/>
  <c r="G182" i="5"/>
  <c r="H181" i="5"/>
  <c r="G181" i="5"/>
  <c r="H180" i="5"/>
  <c r="G180" i="5"/>
  <c r="H179" i="5"/>
  <c r="G179" i="5"/>
  <c r="H178" i="5"/>
  <c r="G178" i="5"/>
  <c r="H177" i="5"/>
  <c r="G177" i="5"/>
  <c r="H176" i="5"/>
  <c r="G176" i="5"/>
  <c r="H175" i="5"/>
  <c r="G175" i="5"/>
  <c r="H174" i="5"/>
  <c r="G174" i="5"/>
  <c r="H173" i="5"/>
  <c r="G173" i="5"/>
  <c r="H172" i="5"/>
  <c r="G172" i="5"/>
  <c r="H171" i="5"/>
  <c r="G171" i="5"/>
  <c r="H170" i="5"/>
  <c r="G170" i="5"/>
  <c r="H169" i="5"/>
  <c r="G169" i="5"/>
  <c r="H168" i="5"/>
  <c r="G168" i="5"/>
  <c r="H167" i="5"/>
  <c r="G167" i="5"/>
  <c r="H166" i="5"/>
  <c r="G166" i="5"/>
  <c r="H165" i="5"/>
  <c r="G165" i="5"/>
  <c r="H164" i="5"/>
  <c r="G164" i="5"/>
  <c r="H163" i="5"/>
  <c r="G163" i="5"/>
  <c r="H162" i="5"/>
  <c r="G162" i="5"/>
  <c r="H161" i="5"/>
  <c r="G161" i="5"/>
  <c r="H160" i="5"/>
  <c r="G160" i="5"/>
  <c r="H159" i="5"/>
  <c r="G159" i="5"/>
  <c r="H158" i="5"/>
  <c r="G158" i="5"/>
  <c r="H157" i="5"/>
  <c r="G157" i="5"/>
  <c r="H156" i="5"/>
  <c r="G156" i="5"/>
  <c r="H155" i="5"/>
  <c r="G155" i="5"/>
  <c r="H154" i="5"/>
  <c r="G154" i="5"/>
  <c r="H153" i="5"/>
  <c r="G153" i="5"/>
  <c r="H152" i="5"/>
  <c r="G152" i="5"/>
  <c r="H151" i="5"/>
  <c r="G151" i="5"/>
  <c r="H150" i="5"/>
  <c r="G150" i="5"/>
  <c r="H149" i="5"/>
  <c r="G149" i="5"/>
  <c r="H148" i="5"/>
  <c r="G148" i="5"/>
  <c r="H147" i="5"/>
  <c r="G147" i="5"/>
  <c r="H146" i="5"/>
  <c r="G146" i="5"/>
  <c r="H145" i="5"/>
  <c r="G145" i="5"/>
  <c r="H144" i="5"/>
  <c r="G144" i="5"/>
  <c r="H143" i="5"/>
  <c r="G143" i="5"/>
  <c r="H142" i="5"/>
  <c r="G142" i="5"/>
  <c r="H141" i="5"/>
  <c r="G141" i="5"/>
  <c r="H140" i="5"/>
  <c r="G140" i="5"/>
  <c r="H139" i="5"/>
  <c r="G139" i="5"/>
  <c r="H138" i="5"/>
  <c r="G138" i="5"/>
  <c r="H137" i="5"/>
  <c r="G137" i="5"/>
  <c r="H136" i="5"/>
  <c r="G136" i="5"/>
  <c r="H135" i="5"/>
  <c r="G135" i="5"/>
  <c r="H134" i="5"/>
  <c r="G134" i="5"/>
  <c r="H133" i="5"/>
  <c r="G133" i="5"/>
  <c r="H132" i="5"/>
  <c r="G132" i="5"/>
  <c r="H131" i="5"/>
  <c r="G131" i="5"/>
  <c r="H130" i="5"/>
  <c r="G130" i="5"/>
  <c r="H129" i="5"/>
  <c r="G129" i="5"/>
  <c r="H128" i="5"/>
  <c r="G128" i="5"/>
  <c r="H127" i="5"/>
  <c r="G127" i="5"/>
  <c r="H126" i="5"/>
  <c r="G126" i="5"/>
  <c r="H125" i="5"/>
  <c r="G125" i="5"/>
  <c r="H124" i="5"/>
  <c r="G124" i="5"/>
  <c r="H123" i="5"/>
  <c r="G123" i="5"/>
  <c r="H122" i="5"/>
  <c r="G122" i="5"/>
  <c r="H121" i="5"/>
  <c r="G121" i="5"/>
  <c r="H120" i="5"/>
  <c r="G120" i="5"/>
  <c r="H119" i="5"/>
  <c r="G119" i="5"/>
  <c r="H118" i="5"/>
  <c r="G118" i="5"/>
  <c r="H117" i="5"/>
  <c r="G117" i="5"/>
  <c r="H116" i="5"/>
  <c r="G116" i="5"/>
  <c r="H115" i="5"/>
  <c r="G115" i="5"/>
  <c r="H114" i="5"/>
  <c r="G114" i="5"/>
  <c r="H113" i="5"/>
  <c r="G113" i="5"/>
  <c r="H112" i="5"/>
  <c r="G112" i="5"/>
  <c r="H111" i="5"/>
  <c r="G111" i="5"/>
  <c r="H110" i="5"/>
  <c r="G110" i="5"/>
  <c r="H109" i="5"/>
  <c r="G109" i="5"/>
  <c r="H108" i="5"/>
  <c r="G108" i="5"/>
  <c r="H107" i="5"/>
  <c r="G107" i="5"/>
  <c r="H106" i="5"/>
  <c r="G106" i="5"/>
  <c r="H105" i="5"/>
  <c r="G105" i="5"/>
  <c r="H104" i="5"/>
  <c r="G104" i="5"/>
  <c r="H103" i="5"/>
  <c r="G103" i="5"/>
  <c r="H102" i="5"/>
  <c r="G102" i="5"/>
  <c r="H101" i="5"/>
  <c r="G101" i="5"/>
  <c r="H100" i="5"/>
  <c r="G100" i="5"/>
  <c r="H99" i="5"/>
  <c r="G99" i="5"/>
  <c r="H98" i="5"/>
  <c r="G98" i="5"/>
  <c r="H97" i="5"/>
  <c r="G97" i="5"/>
  <c r="H96" i="5"/>
  <c r="G96" i="5"/>
  <c r="H95" i="5"/>
  <c r="G95" i="5"/>
  <c r="H94" i="5"/>
  <c r="G94" i="5"/>
  <c r="H93" i="5"/>
  <c r="G93" i="5"/>
  <c r="H92" i="5"/>
  <c r="G92" i="5"/>
  <c r="H91" i="5"/>
  <c r="G91" i="5"/>
  <c r="H90" i="5"/>
  <c r="G90" i="5"/>
  <c r="H89" i="5"/>
  <c r="G89" i="5"/>
  <c r="H88" i="5"/>
  <c r="G88" i="5"/>
  <c r="H87" i="5"/>
  <c r="G87" i="5"/>
  <c r="H86" i="5"/>
  <c r="G86" i="5"/>
  <c r="H85" i="5"/>
  <c r="G85" i="5"/>
  <c r="H84" i="5"/>
  <c r="G84" i="5"/>
  <c r="H83" i="5"/>
  <c r="G83" i="5"/>
  <c r="H82" i="5"/>
  <c r="G82" i="5"/>
  <c r="H81" i="5"/>
  <c r="G81" i="5"/>
  <c r="H80" i="5"/>
  <c r="G80" i="5"/>
  <c r="H79" i="5"/>
  <c r="G79" i="5"/>
  <c r="H78" i="5"/>
  <c r="G78" i="5"/>
  <c r="H77" i="5"/>
  <c r="G77" i="5"/>
  <c r="H76" i="5"/>
  <c r="G76" i="5"/>
  <c r="H75" i="5"/>
  <c r="G75" i="5"/>
  <c r="H74" i="5"/>
  <c r="G74" i="5"/>
  <c r="H73" i="5"/>
  <c r="G73" i="5"/>
  <c r="H72" i="5"/>
  <c r="G72" i="5"/>
  <c r="H71" i="5"/>
  <c r="G71" i="5"/>
  <c r="H70" i="5"/>
  <c r="G70" i="5"/>
  <c r="H69" i="5"/>
  <c r="G69" i="5"/>
  <c r="H68" i="5"/>
  <c r="G68" i="5"/>
  <c r="H67" i="5"/>
  <c r="G67" i="5"/>
  <c r="H66" i="5"/>
  <c r="G66" i="5"/>
  <c r="H65" i="5"/>
  <c r="G65" i="5"/>
  <c r="H64" i="5"/>
  <c r="G64" i="5"/>
  <c r="H63" i="5"/>
  <c r="G63" i="5"/>
  <c r="H62" i="5"/>
  <c r="G62" i="5"/>
  <c r="H61" i="5"/>
  <c r="G61" i="5"/>
  <c r="H60" i="5"/>
  <c r="G60" i="5"/>
  <c r="H59" i="5"/>
  <c r="G59" i="5"/>
  <c r="H58" i="5"/>
  <c r="G58" i="5"/>
  <c r="H57" i="5"/>
  <c r="G57" i="5"/>
  <c r="H56" i="5"/>
  <c r="G56" i="5"/>
  <c r="H55" i="5"/>
  <c r="G55" i="5"/>
  <c r="H54" i="5"/>
  <c r="G54" i="5"/>
  <c r="H53" i="5"/>
  <c r="G53" i="5"/>
  <c r="H52" i="5"/>
  <c r="G52" i="5"/>
  <c r="H51" i="5"/>
  <c r="G51" i="5"/>
  <c r="H50" i="5"/>
  <c r="G50" i="5"/>
  <c r="H49" i="5"/>
  <c r="G49" i="5"/>
  <c r="H48" i="5"/>
  <c r="G48" i="5"/>
  <c r="H47" i="5"/>
  <c r="G47" i="5"/>
  <c r="H46" i="5"/>
  <c r="G46" i="5"/>
  <c r="H45" i="5"/>
  <c r="G45" i="5"/>
  <c r="H44" i="5"/>
  <c r="G44" i="5"/>
  <c r="H43" i="5"/>
  <c r="G43" i="5"/>
  <c r="H42" i="5"/>
  <c r="G42" i="5"/>
  <c r="H41" i="5"/>
  <c r="G41" i="5"/>
  <c r="H40" i="5"/>
  <c r="G40" i="5"/>
  <c r="H39" i="5"/>
  <c r="G39" i="5"/>
  <c r="H38" i="5"/>
  <c r="G38" i="5"/>
  <c r="H37" i="5"/>
  <c r="G37" i="5"/>
  <c r="H36" i="5"/>
  <c r="G36" i="5"/>
  <c r="H35" i="5"/>
  <c r="G35" i="5"/>
  <c r="H34" i="5"/>
  <c r="G34" i="5"/>
  <c r="H33" i="5"/>
  <c r="G33" i="5"/>
  <c r="H32" i="5"/>
  <c r="G32" i="5"/>
  <c r="H31" i="5"/>
  <c r="G31" i="5"/>
  <c r="H30" i="5"/>
  <c r="G30" i="5"/>
  <c r="H29" i="5"/>
  <c r="G29" i="5"/>
  <c r="H28" i="5"/>
  <c r="G28" i="5"/>
  <c r="H27" i="5"/>
  <c r="G27" i="5"/>
  <c r="H26" i="5"/>
  <c r="G26" i="5"/>
  <c r="H25" i="5"/>
  <c r="G25" i="5"/>
  <c r="H24" i="5"/>
  <c r="G24" i="5"/>
  <c r="H23" i="5"/>
  <c r="G23" i="5"/>
  <c r="H22" i="5"/>
  <c r="G22" i="5"/>
  <c r="H21" i="5"/>
  <c r="G21" i="5"/>
  <c r="H20" i="5"/>
  <c r="G20" i="5"/>
  <c r="H19" i="5"/>
  <c r="G19" i="5"/>
  <c r="H18" i="5"/>
  <c r="G18" i="5"/>
  <c r="H17" i="5"/>
  <c r="G17" i="5"/>
  <c r="H16" i="5"/>
  <c r="G16" i="5"/>
  <c r="H15" i="5"/>
  <c r="G15" i="5"/>
  <c r="H14" i="5"/>
  <c r="G14" i="5"/>
  <c r="H13" i="5"/>
  <c r="G13" i="5"/>
  <c r="H12" i="5"/>
  <c r="G12" i="5"/>
  <c r="H11" i="5"/>
  <c r="G11" i="5"/>
  <c r="H10" i="5"/>
  <c r="G10" i="5"/>
  <c r="H9" i="5"/>
  <c r="G9" i="5"/>
  <c r="H8" i="5"/>
  <c r="G8" i="5"/>
  <c r="H7" i="5"/>
  <c r="G7" i="5"/>
  <c r="H6" i="5"/>
  <c r="B22" i="11" s="1"/>
  <c r="G6" i="5"/>
  <c r="C46" i="2"/>
  <c r="B26" i="10" s="1"/>
  <c r="C45" i="2"/>
  <c r="D32" i="10" s="1"/>
  <c r="C44" i="2"/>
  <c r="B8" i="9" s="1"/>
  <c r="C19" i="2"/>
  <c r="C18" i="2"/>
  <c r="C140" i="11" s="1"/>
  <c r="D22" i="11" l="1"/>
  <c r="C22" i="11"/>
  <c r="D45" i="11"/>
  <c r="E12" i="9"/>
  <c r="E20" i="9"/>
  <c r="D103" i="11"/>
  <c r="C10" i="14"/>
  <c r="D170" i="11"/>
  <c r="E38" i="9"/>
  <c r="C28" i="14"/>
  <c r="D190" i="11"/>
  <c r="E40" i="9"/>
  <c r="D23" i="12"/>
  <c r="D43" i="12"/>
  <c r="E11" i="10"/>
  <c r="E15" i="10"/>
  <c r="E17" i="10"/>
  <c r="E25" i="10"/>
  <c r="E13" i="11"/>
  <c r="F113" i="11"/>
  <c r="G115" i="11"/>
  <c r="E118" i="11"/>
  <c r="D21" i="9"/>
  <c r="D33" i="9"/>
  <c r="D42" i="9"/>
  <c r="E12" i="10"/>
  <c r="C35" i="11"/>
  <c r="C108" i="11"/>
  <c r="F111" i="11"/>
  <c r="D114" i="11"/>
  <c r="B145" i="11"/>
  <c r="B177" i="11"/>
  <c r="C98" i="11"/>
  <c r="D30" i="9"/>
  <c r="D24" i="10"/>
  <c r="F13" i="11"/>
  <c r="G113" i="11"/>
  <c r="D13" i="9"/>
  <c r="D20" i="10"/>
  <c r="H8" i="11"/>
  <c r="H13" i="11"/>
  <c r="B20" i="11"/>
  <c r="B127" i="11"/>
  <c r="B31" i="12"/>
  <c r="D52" i="9"/>
  <c r="D33" i="10"/>
  <c r="D51" i="9"/>
  <c r="D25" i="11"/>
  <c r="E9" i="9"/>
  <c r="D75" i="11"/>
  <c r="E17" i="9"/>
  <c r="D95" i="11"/>
  <c r="E22" i="9"/>
  <c r="D150" i="11"/>
  <c r="E35" i="9"/>
  <c r="D210" i="11"/>
  <c r="E42" i="9"/>
  <c r="C115" i="11"/>
  <c r="E114" i="11"/>
  <c r="C113" i="11"/>
  <c r="E112" i="11"/>
  <c r="C111" i="11"/>
  <c r="E110" i="11"/>
  <c r="C109" i="11"/>
  <c r="E108" i="11"/>
  <c r="C114" i="11"/>
  <c r="D113" i="11"/>
  <c r="D112" i="11"/>
  <c r="E111" i="11"/>
  <c r="C112" i="11"/>
  <c r="D111" i="11"/>
  <c r="D110" i="11"/>
  <c r="E109" i="11"/>
  <c r="D115" i="11"/>
  <c r="D109" i="11"/>
  <c r="D118" i="11"/>
  <c r="E113" i="11"/>
  <c r="C110" i="11"/>
  <c r="D108" i="11"/>
  <c r="D13" i="11"/>
  <c r="D6" i="10"/>
  <c r="B3" i="12"/>
  <c r="B3" i="11"/>
  <c r="D3" i="10"/>
  <c r="D3" i="9"/>
  <c r="D35" i="11"/>
  <c r="D98" i="11"/>
  <c r="E13" i="9"/>
  <c r="D65" i="11"/>
  <c r="E15" i="9"/>
  <c r="D104" i="11"/>
  <c r="D102" i="11"/>
  <c r="E19" i="9"/>
  <c r="D85" i="11"/>
  <c r="E21" i="9"/>
  <c r="E28" i="9"/>
  <c r="E30" i="9"/>
  <c r="C20" i="14"/>
  <c r="C21" i="14" s="1"/>
  <c r="D130" i="11"/>
  <c r="E32" i="9"/>
  <c r="D140" i="11"/>
  <c r="E34" i="9"/>
  <c r="D160" i="11"/>
  <c r="E37" i="9"/>
  <c r="C11" i="14"/>
  <c r="D180" i="11"/>
  <c r="E39" i="9"/>
  <c r="C12" i="14"/>
  <c r="D200" i="11"/>
  <c r="E41" i="9"/>
  <c r="D13" i="12"/>
  <c r="C43" i="6"/>
  <c r="C44" i="6" s="1"/>
  <c r="C45" i="6" s="1"/>
  <c r="J14" i="11" s="1"/>
  <c r="E6" i="10"/>
  <c r="D33" i="12"/>
  <c r="D53" i="12"/>
  <c r="D73" i="12"/>
  <c r="D83" i="12"/>
  <c r="E20" i="10"/>
  <c r="E24" i="10"/>
  <c r="G111" i="11"/>
  <c r="G114" i="11"/>
  <c r="E8" i="9"/>
  <c r="D15" i="9"/>
  <c r="E7" i="10"/>
  <c r="E16" i="10"/>
  <c r="B5" i="11"/>
  <c r="E115" i="11"/>
  <c r="D55" i="11"/>
  <c r="E14" i="9"/>
  <c r="B98" i="12"/>
  <c r="B91" i="12"/>
  <c r="B87" i="12"/>
  <c r="B80" i="12"/>
  <c r="B69" i="12"/>
  <c r="B58" i="12"/>
  <c r="B51" i="12"/>
  <c r="B47" i="12"/>
  <c r="B40" i="12"/>
  <c r="B29" i="12"/>
  <c r="B18" i="12"/>
  <c r="B99" i="12"/>
  <c r="B88" i="12"/>
  <c r="B81" i="12"/>
  <c r="B77" i="12"/>
  <c r="B70" i="12"/>
  <c r="B59" i="12"/>
  <c r="B48" i="12"/>
  <c r="B41" i="12"/>
  <c r="B37" i="12"/>
  <c r="B30" i="12"/>
  <c r="B19" i="12"/>
  <c r="B8" i="12"/>
  <c r="B206" i="11"/>
  <c r="B100" i="12"/>
  <c r="B89" i="12"/>
  <c r="B78" i="12"/>
  <c r="B71" i="12"/>
  <c r="B67" i="12"/>
  <c r="B60" i="12"/>
  <c r="B49" i="12"/>
  <c r="B38" i="12"/>
  <c r="B101" i="12"/>
  <c r="B97" i="12"/>
  <c r="B90" i="12"/>
  <c r="B79" i="12"/>
  <c r="B68" i="12"/>
  <c r="B61" i="12"/>
  <c r="B57" i="12"/>
  <c r="B50" i="12"/>
  <c r="B39" i="12"/>
  <c r="B28" i="12"/>
  <c r="B21" i="12"/>
  <c r="B17" i="12"/>
  <c r="B10" i="12"/>
  <c r="B208" i="11"/>
  <c r="B204" i="11"/>
  <c r="B197" i="11"/>
  <c r="B186" i="11"/>
  <c r="B175" i="11"/>
  <c r="B168" i="11"/>
  <c r="B164" i="11"/>
  <c r="B205" i="11"/>
  <c r="B198" i="11"/>
  <c r="B188" i="11"/>
  <c r="B7" i="12"/>
  <c r="B207" i="11"/>
  <c r="B196" i="11"/>
  <c r="B194" i="11"/>
  <c r="B184" i="11"/>
  <c r="B178" i="11"/>
  <c r="B176" i="11"/>
  <c r="B158" i="11"/>
  <c r="B154" i="11"/>
  <c r="B147" i="11"/>
  <c r="B136" i="11"/>
  <c r="B125" i="11"/>
  <c r="B93" i="11"/>
  <c r="B89" i="11"/>
  <c r="B82" i="11"/>
  <c r="B71" i="11"/>
  <c r="B60" i="11"/>
  <c r="B53" i="11"/>
  <c r="B49" i="11"/>
  <c r="B27" i="12"/>
  <c r="B20" i="12"/>
  <c r="B11" i="12"/>
  <c r="B156" i="11"/>
  <c r="B146" i="11"/>
  <c r="B144" i="11"/>
  <c r="B134" i="11"/>
  <c r="B128" i="11"/>
  <c r="B126" i="11"/>
  <c r="B83" i="11"/>
  <c r="B73" i="11"/>
  <c r="B52" i="11"/>
  <c r="B50" i="11"/>
  <c r="B41" i="11"/>
  <c r="B30" i="11"/>
  <c r="B23" i="11"/>
  <c r="B19" i="11"/>
  <c r="B9" i="12"/>
  <c r="B195" i="11"/>
  <c r="B185" i="11"/>
  <c r="B165" i="11"/>
  <c r="B137" i="11"/>
  <c r="B124" i="11"/>
  <c r="B91" i="11"/>
  <c r="B81" i="11"/>
  <c r="B79" i="11"/>
  <c r="B69" i="11"/>
  <c r="B63" i="11"/>
  <c r="B61" i="11"/>
  <c r="B42" i="11"/>
  <c r="B31" i="11"/>
  <c r="B174" i="11"/>
  <c r="B157" i="11"/>
  <c r="B148" i="11"/>
  <c r="B135" i="11"/>
  <c r="B72" i="11"/>
  <c r="B59" i="11"/>
  <c r="B39" i="11"/>
  <c r="B167" i="11"/>
  <c r="B138" i="11"/>
  <c r="B92" i="11"/>
  <c r="B62" i="11"/>
  <c r="B29" i="11"/>
  <c r="B21" i="11"/>
  <c r="B187" i="11"/>
  <c r="B166" i="11"/>
  <c r="B155" i="11"/>
  <c r="B43" i="11"/>
  <c r="B33" i="11"/>
  <c r="C25" i="11"/>
  <c r="D9" i="9"/>
  <c r="C45" i="11"/>
  <c r="D12" i="9"/>
  <c r="D14" i="9"/>
  <c r="C75" i="11"/>
  <c r="D17" i="9"/>
  <c r="D20" i="9"/>
  <c r="C103" i="11"/>
  <c r="C95" i="11"/>
  <c r="D22" i="9"/>
  <c r="C150" i="11"/>
  <c r="C170" i="11"/>
  <c r="C30" i="14"/>
  <c r="C190" i="11"/>
  <c r="C210" i="11"/>
  <c r="C23" i="12"/>
  <c r="D7" i="10"/>
  <c r="C43" i="12"/>
  <c r="D11" i="10"/>
  <c r="C63" i="12"/>
  <c r="D13" i="10"/>
  <c r="C7" i="14"/>
  <c r="D15" i="10"/>
  <c r="D17" i="10"/>
  <c r="C103" i="12"/>
  <c r="D21" i="10"/>
  <c r="G109" i="11"/>
  <c r="F112" i="11"/>
  <c r="E11" i="9"/>
  <c r="D19" i="9"/>
  <c r="D40" i="9"/>
  <c r="E10" i="10"/>
  <c r="F7" i="11"/>
  <c r="B32" i="11"/>
  <c r="B40" i="11"/>
  <c r="B51" i="11"/>
  <c r="B70" i="11"/>
  <c r="B80" i="11"/>
  <c r="B90" i="11"/>
  <c r="D63" i="12"/>
  <c r="D103" i="12"/>
  <c r="G7" i="11"/>
  <c r="F8" i="11"/>
  <c r="B8" i="11"/>
  <c r="I9" i="11"/>
  <c r="E9" i="11"/>
  <c r="H10" i="11"/>
  <c r="D10" i="11"/>
  <c r="G11" i="11"/>
  <c r="C11" i="11"/>
  <c r="J12" i="11"/>
  <c r="F12" i="11"/>
  <c r="B12" i="11"/>
  <c r="G13" i="11"/>
  <c r="F108" i="11"/>
  <c r="F110" i="11"/>
  <c r="C118" i="11"/>
  <c r="G16" i="8"/>
  <c r="B7" i="11"/>
  <c r="H7" i="11"/>
  <c r="D8" i="11"/>
  <c r="F9" i="11"/>
  <c r="B10" i="11"/>
  <c r="G10" i="11"/>
  <c r="D11" i="11"/>
  <c r="I11" i="11"/>
  <c r="E12" i="11"/>
  <c r="F114" i="11"/>
  <c r="C24" i="14"/>
  <c r="C65" i="11"/>
  <c r="C13" i="14"/>
  <c r="C102" i="11"/>
  <c r="C104" i="11"/>
  <c r="C14" i="14"/>
  <c r="C85" i="11"/>
  <c r="C119" i="11"/>
  <c r="C130" i="11"/>
  <c r="C160" i="11"/>
  <c r="C180" i="11"/>
  <c r="C200" i="11"/>
  <c r="C13" i="12"/>
  <c r="C33" i="12"/>
  <c r="C53" i="12"/>
  <c r="C73" i="12"/>
  <c r="C25" i="14"/>
  <c r="C8" i="14"/>
  <c r="C83" i="12"/>
  <c r="C9" i="14"/>
  <c r="C93" i="12"/>
  <c r="B43" i="6"/>
  <c r="B6" i="7"/>
  <c r="B7" i="7"/>
  <c r="C8" i="11" s="1"/>
  <c r="B8" i="7"/>
  <c r="B9" i="7"/>
  <c r="B10" i="7"/>
  <c r="B11" i="7"/>
  <c r="H6" i="8"/>
  <c r="H8" i="8"/>
  <c r="G110" i="11" s="1"/>
  <c r="H10" i="8"/>
  <c r="G112" i="11" s="1"/>
  <c r="D28" i="9"/>
  <c r="D32" i="9"/>
  <c r="D34" i="9"/>
  <c r="D37" i="9"/>
  <c r="D39" i="9"/>
  <c r="D41" i="9"/>
  <c r="E13" i="10"/>
  <c r="D7" i="11"/>
  <c r="E8" i="11"/>
  <c r="B9" i="11"/>
  <c r="G9" i="11"/>
  <c r="C10" i="11"/>
  <c r="I10" i="11"/>
  <c r="E11" i="11"/>
  <c r="J11" i="11"/>
  <c r="G12" i="11"/>
  <c r="D93" i="12"/>
  <c r="H8" i="7"/>
  <c r="C23" i="14"/>
  <c r="C26" i="14" s="1"/>
  <c r="F109" i="11"/>
  <c r="F115" i="11"/>
  <c r="D11" i="9"/>
  <c r="D10" i="10"/>
  <c r="D18" i="10" s="1"/>
  <c r="D12" i="10"/>
  <c r="D14" i="10"/>
  <c r="D16" i="10"/>
  <c r="E21" i="10"/>
  <c r="E7" i="11"/>
  <c r="G8" i="11"/>
  <c r="C9" i="11"/>
  <c r="H9" i="11"/>
  <c r="E10" i="11"/>
  <c r="J10" i="11"/>
  <c r="F11" i="11"/>
  <c r="C12" i="11"/>
  <c r="H12" i="11"/>
  <c r="C90" i="11" l="1"/>
  <c r="D90" i="11"/>
  <c r="D92" i="11"/>
  <c r="C92" i="11"/>
  <c r="C61" i="11"/>
  <c r="D61" i="11"/>
  <c r="D19" i="11"/>
  <c r="D24" i="11" s="1"/>
  <c r="C19" i="11"/>
  <c r="C126" i="11"/>
  <c r="D126" i="11"/>
  <c r="D27" i="12"/>
  <c r="D32" i="12" s="1"/>
  <c r="C27" i="12"/>
  <c r="C158" i="11"/>
  <c r="D158" i="11"/>
  <c r="H9" i="7"/>
  <c r="D19" i="7"/>
  <c r="D20" i="7" s="1"/>
  <c r="D22" i="7" s="1"/>
  <c r="B44" i="6"/>
  <c r="D51" i="11"/>
  <c r="C51" i="11"/>
  <c r="E18" i="10"/>
  <c r="D166" i="11"/>
  <c r="C166" i="11"/>
  <c r="D62" i="11"/>
  <c r="C62" i="11"/>
  <c r="D39" i="11"/>
  <c r="C39" i="11"/>
  <c r="C148" i="11"/>
  <c r="D148" i="11"/>
  <c r="C42" i="11"/>
  <c r="D42" i="11"/>
  <c r="C79" i="11"/>
  <c r="C84" i="11" s="1"/>
  <c r="D79" i="11"/>
  <c r="C137" i="11"/>
  <c r="D137" i="11"/>
  <c r="C9" i="12"/>
  <c r="D9" i="12"/>
  <c r="D41" i="11"/>
  <c r="C41" i="11"/>
  <c r="C83" i="11"/>
  <c r="D83" i="11"/>
  <c r="C144" i="11"/>
  <c r="D144" i="11"/>
  <c r="D20" i="12"/>
  <c r="C20" i="12"/>
  <c r="D60" i="11"/>
  <c r="C60" i="11"/>
  <c r="C93" i="11"/>
  <c r="D93" i="11"/>
  <c r="C154" i="11"/>
  <c r="D154" i="11"/>
  <c r="D184" i="11"/>
  <c r="C184" i="11"/>
  <c r="C7" i="12"/>
  <c r="D7" i="12"/>
  <c r="D164" i="11"/>
  <c r="C164" i="11"/>
  <c r="D197" i="11"/>
  <c r="C197" i="11"/>
  <c r="D17" i="12"/>
  <c r="D22" i="12" s="1"/>
  <c r="C17" i="12"/>
  <c r="D50" i="12"/>
  <c r="C50" i="12"/>
  <c r="D79" i="12"/>
  <c r="C79" i="12"/>
  <c r="D38" i="12"/>
  <c r="C38" i="12"/>
  <c r="D71" i="12"/>
  <c r="C71" i="12"/>
  <c r="D206" i="11"/>
  <c r="C206" i="11"/>
  <c r="C37" i="12"/>
  <c r="D37" i="12"/>
  <c r="C70" i="12"/>
  <c r="D70" i="12"/>
  <c r="C99" i="12"/>
  <c r="D99" i="12"/>
  <c r="D47" i="12"/>
  <c r="C47" i="12"/>
  <c r="D80" i="12"/>
  <c r="C80" i="12"/>
  <c r="E23" i="9"/>
  <c r="D145" i="11"/>
  <c r="C145" i="11"/>
  <c r="C13" i="15"/>
  <c r="D13" i="15" s="1"/>
  <c r="F118" i="11"/>
  <c r="D19" i="8"/>
  <c r="D59" i="11"/>
  <c r="D64" i="11" s="1"/>
  <c r="C59" i="11"/>
  <c r="C165" i="11"/>
  <c r="D165" i="11"/>
  <c r="D125" i="11"/>
  <c r="C125" i="11"/>
  <c r="D188" i="11"/>
  <c r="C188" i="11"/>
  <c r="D204" i="11"/>
  <c r="C204" i="11"/>
  <c r="D21" i="12"/>
  <c r="C21" i="12"/>
  <c r="D90" i="12"/>
  <c r="C90" i="12"/>
  <c r="D49" i="12"/>
  <c r="C49" i="12"/>
  <c r="D78" i="12"/>
  <c r="C78" i="12"/>
  <c r="D8" i="12"/>
  <c r="C8" i="12"/>
  <c r="C41" i="12"/>
  <c r="D41" i="12"/>
  <c r="C77" i="12"/>
  <c r="D77" i="12"/>
  <c r="C18" i="12"/>
  <c r="D18" i="12"/>
  <c r="D51" i="12"/>
  <c r="C51" i="12"/>
  <c r="D87" i="12"/>
  <c r="D92" i="12" s="1"/>
  <c r="C87" i="12"/>
  <c r="E43" i="9"/>
  <c r="E45" i="9" s="1"/>
  <c r="C9" i="15" s="1"/>
  <c r="D9" i="15" s="1"/>
  <c r="D8" i="10"/>
  <c r="D19" i="10" s="1"/>
  <c r="D22" i="10" s="1"/>
  <c r="D26" i="10" s="1"/>
  <c r="D127" i="11"/>
  <c r="C127" i="11"/>
  <c r="G108" i="11"/>
  <c r="H16" i="8"/>
  <c r="G118" i="11" s="1"/>
  <c r="D33" i="11"/>
  <c r="C33" i="11"/>
  <c r="D138" i="11"/>
  <c r="C138" i="11"/>
  <c r="C72" i="11"/>
  <c r="D72" i="11"/>
  <c r="D174" i="11"/>
  <c r="C174" i="11"/>
  <c r="C63" i="11"/>
  <c r="D63" i="11"/>
  <c r="D91" i="11"/>
  <c r="C91" i="11"/>
  <c r="D185" i="11"/>
  <c r="C185" i="11"/>
  <c r="C23" i="11"/>
  <c r="D23" i="11"/>
  <c r="D52" i="11"/>
  <c r="C52" i="11"/>
  <c r="D128" i="11"/>
  <c r="C128" i="11"/>
  <c r="D156" i="11"/>
  <c r="C156" i="11"/>
  <c r="D49" i="11"/>
  <c r="C49" i="11"/>
  <c r="D82" i="11"/>
  <c r="C82" i="11"/>
  <c r="D136" i="11"/>
  <c r="C136" i="11"/>
  <c r="C176" i="11"/>
  <c r="D176" i="11"/>
  <c r="C196" i="11"/>
  <c r="D196" i="11"/>
  <c r="C198" i="11"/>
  <c r="D198" i="11"/>
  <c r="D175" i="11"/>
  <c r="C175" i="11"/>
  <c r="D208" i="11"/>
  <c r="C208" i="11"/>
  <c r="D28" i="12"/>
  <c r="C28" i="12"/>
  <c r="D61" i="12"/>
  <c r="C61" i="12"/>
  <c r="D97" i="12"/>
  <c r="C97" i="12"/>
  <c r="D60" i="12"/>
  <c r="C60" i="12"/>
  <c r="D89" i="12"/>
  <c r="C89" i="12"/>
  <c r="C19" i="12"/>
  <c r="D19" i="12"/>
  <c r="C48" i="12"/>
  <c r="D48" i="12"/>
  <c r="C81" i="12"/>
  <c r="D81" i="12"/>
  <c r="C29" i="12"/>
  <c r="D29" i="12"/>
  <c r="D58" i="12"/>
  <c r="C58" i="12"/>
  <c r="D91" i="12"/>
  <c r="C91" i="12"/>
  <c r="E8" i="10"/>
  <c r="E19" i="10" s="1"/>
  <c r="E22" i="10" s="1"/>
  <c r="E26" i="10" s="1"/>
  <c r="C20" i="11"/>
  <c r="D20" i="11"/>
  <c r="D40" i="11"/>
  <c r="C40" i="11"/>
  <c r="C187" i="11"/>
  <c r="D187" i="11"/>
  <c r="D157" i="11"/>
  <c r="C157" i="11"/>
  <c r="C81" i="11"/>
  <c r="D81" i="11"/>
  <c r="C50" i="11"/>
  <c r="D50" i="11"/>
  <c r="D146" i="11"/>
  <c r="C146" i="11"/>
  <c r="C71" i="11"/>
  <c r="D71" i="11"/>
  <c r="C194" i="11"/>
  <c r="D194" i="11"/>
  <c r="D199" i="11" s="1"/>
  <c r="C168" i="11"/>
  <c r="D168" i="11"/>
  <c r="D57" i="12"/>
  <c r="C57" i="12"/>
  <c r="H11" i="7"/>
  <c r="D43" i="9"/>
  <c r="D80" i="11"/>
  <c r="C80" i="11"/>
  <c r="D32" i="11"/>
  <c r="C32" i="11"/>
  <c r="D43" i="11"/>
  <c r="C43" i="11"/>
  <c r="D21" i="11"/>
  <c r="C21" i="11"/>
  <c r="H10" i="7"/>
  <c r="B12" i="7"/>
  <c r="C11" i="15" s="1"/>
  <c r="D11" i="15" s="1"/>
  <c r="C7" i="11"/>
  <c r="D70" i="11"/>
  <c r="C70" i="11"/>
  <c r="C155" i="11"/>
  <c r="D155" i="11"/>
  <c r="C29" i="11"/>
  <c r="D29" i="11"/>
  <c r="D167" i="11"/>
  <c r="C167" i="11"/>
  <c r="D135" i="11"/>
  <c r="C135" i="11"/>
  <c r="C31" i="11"/>
  <c r="D31" i="11"/>
  <c r="D69" i="11"/>
  <c r="C69" i="11"/>
  <c r="C124" i="11"/>
  <c r="C129" i="11" s="1"/>
  <c r="D124" i="11"/>
  <c r="D129" i="11" s="1"/>
  <c r="D195" i="11"/>
  <c r="C195" i="11"/>
  <c r="D30" i="11"/>
  <c r="C30" i="11"/>
  <c r="D73" i="11"/>
  <c r="C73" i="11"/>
  <c r="D134" i="11"/>
  <c r="D139" i="11" s="1"/>
  <c r="C134" i="11"/>
  <c r="C139" i="11" s="1"/>
  <c r="C11" i="12"/>
  <c r="D11" i="12"/>
  <c r="D53" i="11"/>
  <c r="C53" i="11"/>
  <c r="D89" i="11"/>
  <c r="C89" i="11"/>
  <c r="D147" i="11"/>
  <c r="C147" i="11"/>
  <c r="C178" i="11"/>
  <c r="D178" i="11"/>
  <c r="C207" i="11"/>
  <c r="D207" i="11"/>
  <c r="C205" i="11"/>
  <c r="D205" i="11"/>
  <c r="C186" i="11"/>
  <c r="D186" i="11"/>
  <c r="D10" i="12"/>
  <c r="C10" i="12"/>
  <c r="D39" i="12"/>
  <c r="C39" i="12"/>
  <c r="D68" i="12"/>
  <c r="C68" i="12"/>
  <c r="D101" i="12"/>
  <c r="C101" i="12"/>
  <c r="D67" i="12"/>
  <c r="C67" i="12"/>
  <c r="D100" i="12"/>
  <c r="C100" i="12"/>
  <c r="C30" i="12"/>
  <c r="D30" i="12"/>
  <c r="C59" i="12"/>
  <c r="D59" i="12"/>
  <c r="C88" i="12"/>
  <c r="D88" i="12"/>
  <c r="D40" i="12"/>
  <c r="C40" i="12"/>
  <c r="D69" i="12"/>
  <c r="C69" i="12"/>
  <c r="D98" i="12"/>
  <c r="C98" i="12"/>
  <c r="D31" i="12"/>
  <c r="C31" i="12"/>
  <c r="D177" i="11"/>
  <c r="C177" i="11"/>
  <c r="D209" i="11" l="1"/>
  <c r="D189" i="11"/>
  <c r="C102" i="12"/>
  <c r="C54" i="11"/>
  <c r="C179" i="11"/>
  <c r="D82" i="12"/>
  <c r="C52" i="12"/>
  <c r="D12" i="12"/>
  <c r="D159" i="11"/>
  <c r="D149" i="11"/>
  <c r="C44" i="11"/>
  <c r="C42" i="12"/>
  <c r="C72" i="12"/>
  <c r="C74" i="11"/>
  <c r="D34" i="11"/>
  <c r="C62" i="12"/>
  <c r="D102" i="12"/>
  <c r="D54" i="11"/>
  <c r="D179" i="11"/>
  <c r="C82" i="12"/>
  <c r="D52" i="12"/>
  <c r="C12" i="12"/>
  <c r="C159" i="11"/>
  <c r="C149" i="11"/>
  <c r="D44" i="11"/>
  <c r="C6" i="14"/>
  <c r="C16" i="14" s="1"/>
  <c r="C27" i="14" s="1"/>
  <c r="C29" i="14" s="1"/>
  <c r="C31" i="14" s="1"/>
  <c r="B45" i="6"/>
  <c r="D169" i="11"/>
  <c r="C94" i="11"/>
  <c r="D72" i="12"/>
  <c r="D94" i="11"/>
  <c r="D74" i="11"/>
  <c r="C34" i="11"/>
  <c r="D62" i="12"/>
  <c r="C199" i="11"/>
  <c r="C92" i="12"/>
  <c r="C209" i="11"/>
  <c r="C64" i="11"/>
  <c r="D42" i="12"/>
  <c r="C22" i="12"/>
  <c r="C169" i="11"/>
  <c r="C189" i="11"/>
  <c r="D84" i="11"/>
  <c r="C32" i="12"/>
  <c r="C24" i="11"/>
  <c r="D8" i="9" l="1"/>
  <c r="D23" i="9" s="1"/>
  <c r="D45" i="9" s="1"/>
  <c r="C8" i="15" s="1"/>
  <c r="D8" i="15" s="1"/>
  <c r="I13" i="7"/>
  <c r="H7" i="7"/>
  <c r="H6" i="7"/>
  <c r="C12" i="15"/>
  <c r="D12" i="15" s="1"/>
  <c r="H12" i="7" l="1"/>
  <c r="I13" i="11" s="1"/>
  <c r="I6" i="7"/>
  <c r="I7" i="11"/>
  <c r="I7" i="7"/>
  <c r="J8" i="11" s="1"/>
  <c r="I8" i="11"/>
  <c r="I12" i="7" l="1"/>
  <c r="J7" i="11"/>
  <c r="J13" i="11" l="1"/>
  <c r="I14" i="7"/>
  <c r="C10" i="15" s="1"/>
  <c r="D10" i="15" s="1"/>
  <c r="C16" i="15" s="1"/>
</calcChain>
</file>

<file path=xl/sharedStrings.xml><?xml version="1.0" encoding="utf-8"?>
<sst xmlns="http://schemas.openxmlformats.org/spreadsheetml/2006/main" count="710" uniqueCount="416">
  <si>
    <t>Setup</t>
  </si>
  <si>
    <t>Entity details</t>
  </si>
  <si>
    <t>Entity name</t>
  </si>
  <si>
    <t>M/s Malla Traders</t>
  </si>
  <si>
    <t>Entity type</t>
  </si>
  <si>
    <t>Partnership firm</t>
  </si>
  <si>
    <t>Partnership firm / LLP / Proprietorship — drives every label in the statements</t>
  </si>
  <si>
    <t>Registration No. / LLPIN (optional)</t>
  </si>
  <si>
    <t>PAN</t>
  </si>
  <si>
    <t>Principal place of business (one line)</t>
  </si>
  <si>
    <t>Karimnagar, Telangana</t>
  </si>
  <si>
    <t>Current financial year label</t>
  </si>
  <si>
    <t>2025-26</t>
  </si>
  <si>
    <t>Balance sheet date</t>
  </si>
  <si>
    <t>Previous year label</t>
  </si>
  <si>
    <t>2024-25</t>
  </si>
  <si>
    <t>Previous balance sheet date</t>
  </si>
  <si>
    <t>Presentation</t>
  </si>
  <si>
    <t>Rounding</t>
  </si>
  <si>
    <t>Actual</t>
  </si>
  <si>
    <t>Actual / Hundreds / Thousands / Lakhs (the GN does not mandate rounding)</t>
  </si>
  <si>
    <t>Amounts are entered in</t>
  </si>
  <si>
    <t>Rupees (always paste raw rupees)</t>
  </si>
  <si>
    <t>Rounding divisor (auto)</t>
  </si>
  <si>
    <t>Units caption (auto)</t>
  </si>
  <si>
    <t>Cash flow statement included</t>
  </si>
  <si>
    <t>No</t>
  </si>
  <si>
    <t>Optional for non-corporates (encouraged for larger Level I/II entities)</t>
  </si>
  <si>
    <t>Depreciation method</t>
  </si>
  <si>
    <t>WDV</t>
  </si>
  <si>
    <t>WDV (Income-tax rates) or SLM (your own rates on the Dep sheet)</t>
  </si>
  <si>
    <t>Partners / proprietor (feed the Capital sheet and signatures)</t>
  </si>
  <si>
    <t>Name</t>
  </si>
  <si>
    <t>PAN / DPIN</t>
  </si>
  <si>
    <t>Share of profit %</t>
  </si>
  <si>
    <t>Suresh Kumar</t>
  </si>
  <si>
    <t>Ramesh Rao</t>
  </si>
  <si>
    <t>For a proprietorship enter a single row (share may be left blank).</t>
  </si>
  <si>
    <t>Signatories (printed under each statement)</t>
  </si>
  <si>
    <t>Audit firm name</t>
  </si>
  <si>
    <t>M/s Malla &amp; Associates</t>
  </si>
  <si>
    <t>Firm registration number</t>
  </si>
  <si>
    <t>CA name</t>
  </si>
  <si>
    <t>Membership number</t>
  </si>
  <si>
    <t>UDIN</t>
  </si>
  <si>
    <t>Auditor designation</t>
  </si>
  <si>
    <t>Proprietor</t>
  </si>
  <si>
    <t>Place</t>
  </si>
  <si>
    <t>Date of signing</t>
  </si>
  <si>
    <t>Entity-type driven captions (auto — used across the workbook)</t>
  </si>
  <si>
    <t>Capital line caption</t>
  </si>
  <si>
    <t>Signature title</t>
  </si>
  <si>
    <t>Transfer caption</t>
  </si>
  <si>
    <t>Map Guide — every code with typical ledgers</t>
  </si>
  <si>
    <t>Pick these codes in column F of the TB sheet. When in doubt, the app at bswf.calcguru.in maps your Tally trial balance automatically.</t>
  </si>
  <si>
    <t>Code</t>
  </si>
  <si>
    <t>Maps to</t>
  </si>
  <si>
    <t>Class</t>
  </si>
  <si>
    <t>Typical ledgers</t>
  </si>
  <si>
    <t>CAP</t>
  </si>
  <si>
    <t>Owners’/partners’ capital accounts (incl. drawings, interest/remuneration credited)</t>
  </si>
  <si>
    <t>L</t>
  </si>
  <si>
    <t>Partner/proprietor capital &amp; current accounts, drawings, interest/remuneration credited to capital</t>
  </si>
  <si>
    <t>RS</t>
  </si>
  <si>
    <t>Reserves and surplus</t>
  </si>
  <si>
    <t>General reserve, revaluation reserve (rare for NC entities)</t>
  </si>
  <si>
    <t>LTB</t>
  </si>
  <si>
    <t>Long-term borrowings</t>
  </si>
  <si>
    <t>Term loans from banks/NBFCs (full balances), vehicle &amp; housing loans</t>
  </si>
  <si>
    <t>PARTLOAN</t>
  </si>
  <si>
    <t>Loans from partners / proprietor’s relatives</t>
  </si>
  <si>
    <t>Loans FROM partners (not their capital); for proprietorships, loans from relatives</t>
  </si>
  <si>
    <t>DTL</t>
  </si>
  <si>
    <t>Deferred tax liability</t>
  </si>
  <si>
    <t>Deferred tax liability (only if the entity applies AS 22)</t>
  </si>
  <si>
    <t>OLTL</t>
  </si>
  <si>
    <t>Other long-term liabilities</t>
  </si>
  <si>
    <t>Security deposits received, other non-current payables</t>
  </si>
  <si>
    <t>LTPROV</t>
  </si>
  <si>
    <t>Long-term provisions</t>
  </si>
  <si>
    <t>Gratuity/leave provisions (non-current)</t>
  </si>
  <si>
    <t>STB</t>
  </si>
  <si>
    <t>Short-term borrowings (CC/OD/demand)</t>
  </si>
  <si>
    <t>Cash credit, overdraft, loans repayable on demand</t>
  </si>
  <si>
    <t>TPMS</t>
  </si>
  <si>
    <t>Trade payables - MSME</t>
  </si>
  <si>
    <t>Creditors registered as micro/small enterprises</t>
  </si>
  <si>
    <t>TPOTH</t>
  </si>
  <si>
    <t>Trade payables - others</t>
  </si>
  <si>
    <t>All other trade creditors</t>
  </si>
  <si>
    <t>OCL</t>
  </si>
  <si>
    <t>Other current liabilities</t>
  </si>
  <si>
    <t>Statutory dues (GST/TDS/PF), expense payables, advances from customers</t>
  </si>
  <si>
    <t>STPROV</t>
  </si>
  <si>
    <t>Short-term provisions (incl. provision for income tax)</t>
  </si>
  <si>
    <t>Provision for income tax, short-term provisions</t>
  </si>
  <si>
    <t>PPE</t>
  </si>
  <si>
    <t>Property, plant and equipment (net)</t>
  </si>
  <si>
    <t>A</t>
  </si>
  <si>
    <t>Land, building, plant, furniture, vehicles (net of depreciation)</t>
  </si>
  <si>
    <t>INTAN</t>
  </si>
  <si>
    <t>Intangible assets (net)</t>
  </si>
  <si>
    <t>Software, licences (net)</t>
  </si>
  <si>
    <t>CWIP</t>
  </si>
  <si>
    <t>Capital work-in-progress</t>
  </si>
  <si>
    <t>Building/plant under construction</t>
  </si>
  <si>
    <t>IUD</t>
  </si>
  <si>
    <t>Intangible assets under development</t>
  </si>
  <si>
    <t>Software under development</t>
  </si>
  <si>
    <t>NCINV</t>
  </si>
  <si>
    <t>Non-current investments</t>
  </si>
  <si>
    <t>Long-term investments (FDs &gt; 12 months, property, shares)</t>
  </si>
  <si>
    <t>DTA</t>
  </si>
  <si>
    <t>Deferred tax asset</t>
  </si>
  <si>
    <t>Deferred tax asset (if AS 22 applied)</t>
  </si>
  <si>
    <t>LTLA</t>
  </si>
  <si>
    <t>Long-term loans and advances</t>
  </si>
  <si>
    <t>Security deposits paid, capital advances</t>
  </si>
  <si>
    <t>ONCA</t>
  </si>
  <si>
    <t>Other non-current assets</t>
  </si>
  <si>
    <t>CINV</t>
  </si>
  <si>
    <t>Current investments</t>
  </si>
  <si>
    <t>Short-term investments</t>
  </si>
  <si>
    <t>INVTY</t>
  </si>
  <si>
    <t>Inventories</t>
  </si>
  <si>
    <t>Stock-in-trade, raw materials, WIP, finished goods</t>
  </si>
  <si>
    <t>TR</t>
  </si>
  <si>
    <t>Trade receivables</t>
  </si>
  <si>
    <t>Sundry debtors</t>
  </si>
  <si>
    <t>CASH</t>
  </si>
  <si>
    <t>Cash and cash equivalents</t>
  </si>
  <si>
    <t>Cash in hand, bank balances, FDs &lt; 12 months</t>
  </si>
  <si>
    <t>STLA</t>
  </si>
  <si>
    <t>Short-term loans and advances</t>
  </si>
  <si>
    <t>Staff advances, supplier advances, GST/TDS receivable</t>
  </si>
  <si>
    <t>OCA</t>
  </si>
  <si>
    <t>Other current assets</t>
  </si>
  <si>
    <t>Prepaid expenses, accrued income</t>
  </si>
  <si>
    <t>REV</t>
  </si>
  <si>
    <t>Revenue from operations</t>
  </si>
  <si>
    <t>I</t>
  </si>
  <si>
    <t>Sales, professional receipts, job-work income</t>
  </si>
  <si>
    <t>OTHINC</t>
  </si>
  <si>
    <t>Other income</t>
  </si>
  <si>
    <t>Interest received, discounts, misc income</t>
  </si>
  <si>
    <t>MATCONS</t>
  </si>
  <si>
    <t>Cost of materials consumed</t>
  </si>
  <si>
    <t>E</t>
  </si>
  <si>
    <t>Raw material consumed (manufacturers)</t>
  </si>
  <si>
    <t>PURST</t>
  </si>
  <si>
    <t>Purchases of stock-in-trade</t>
  </si>
  <si>
    <t>Purchases (traders)</t>
  </si>
  <si>
    <t>CHGINV</t>
  </si>
  <si>
    <t>Changes in inventories of FG/WIP/stock-in-trade</t>
  </si>
  <si>
    <t>Opening less closing stock adjustment ledger</t>
  </si>
  <si>
    <t>EMPB</t>
  </si>
  <si>
    <t>Employee benefits expense</t>
  </si>
  <si>
    <t>Salaries, wages, bonus, staff welfare, employer PF/ESI</t>
  </si>
  <si>
    <t>FINC</t>
  </si>
  <si>
    <t>Finance costs</t>
  </si>
  <si>
    <t>Bank interest paid, loan processing fees (NOT interest to partners)</t>
  </si>
  <si>
    <t>DEPAM</t>
  </si>
  <si>
    <t>Depreciation and amortisation</t>
  </si>
  <si>
    <t>Depreciation booked for the year</t>
  </si>
  <si>
    <t>OTHEXP</t>
  </si>
  <si>
    <t>Other expenses</t>
  </si>
  <si>
    <t>Rent, electricity, audit fee, travelling and every other expense</t>
  </si>
  <si>
    <t>EXCPI</t>
  </si>
  <si>
    <t>Exceptional items (expense +ve)</t>
  </si>
  <si>
    <t>One-time exceptional items</t>
  </si>
  <si>
    <t>PINT</t>
  </si>
  <si>
    <t>Interest on partners’ capital (appropriation)</t>
  </si>
  <si>
    <t>Interest on partners’ capital debited to P&amp;L</t>
  </si>
  <si>
    <t>PREM</t>
  </si>
  <si>
    <t>Partners’ remuneration (appropriation)</t>
  </si>
  <si>
    <t>Partner salary/remuneration/commission debited to P&amp;L</t>
  </si>
  <si>
    <t>TAXCUR</t>
  </si>
  <si>
    <t>Current tax</t>
  </si>
  <si>
    <t>Income tax of the firm/LLP (NOT for proprietorships — treat as drawings)</t>
  </si>
  <si>
    <t>TAXDEF</t>
  </si>
  <si>
    <t>Deferred tax (charge +ve / credit -ve)</t>
  </si>
  <si>
    <t>Deferred tax charge/(credit)</t>
  </si>
  <si>
    <t>Trial Balance — paste and map</t>
  </si>
  <si>
    <t>Paste account heads with CY and PY closing balances IN RUPEES, then pick a Map code for every row (dropdown). Interest on partners’ capital and remuneration, if booked, map to PINT / PREM; their credit normally sits inside the capital ledgers (CAP).</t>
  </si>
  <si>
    <t>New to the codes? Open the Map Guide sheet — every code with typical ledgers.</t>
  </si>
  <si>
    <t>Account head</t>
  </si>
  <si>
    <t>CY Debit</t>
  </si>
  <si>
    <t>CY Credit</t>
  </si>
  <si>
    <t>PY Debit</t>
  </si>
  <si>
    <t>PY Credit</t>
  </si>
  <si>
    <t>Map code</t>
  </si>
  <si>
    <t>Mapped to (auto)</t>
  </si>
  <si>
    <t>key</t>
  </si>
  <si>
    <t>EXAMPLE — Sales (delete this row and paste your TB)</t>
  </si>
  <si>
    <t>Balance check (Dr − Cr): CY / PY</t>
  </si>
  <si>
    <t>Rows with amounts but no map code</t>
  </si>
  <si>
    <t>code</t>
  </si>
  <si>
    <t>CY netDr</t>
  </si>
  <si>
    <t>PY netDr</t>
  </si>
  <si>
    <t>PBIRT</t>
  </si>
  <si>
    <t>PBT</t>
  </si>
  <si>
    <t>PAT</t>
  </si>
  <si>
    <t>Owners’ / Partners’ Capital Accounts — GN Note 3a</t>
  </si>
  <si>
    <t>Names and shares pull from Setup. Enter the yellow movement columns IN RUPEES. Share of profit allocates the year’s profit (Calc PAT) by the profit-sharing ratio; closing balances must tie to capital per the trial balance (see Checks).</t>
  </si>
  <si>
    <t>Name (from Setup)</t>
  </si>
  <si>
    <t>Share %</t>
  </si>
  <si>
    <t>Opening balance</t>
  </si>
  <si>
    <t>Capital introduced</t>
  </si>
  <si>
    <t>Remuneration</t>
  </si>
  <si>
    <t>Interest on capital</t>
  </si>
  <si>
    <t>Withdrawals / drawings</t>
  </si>
  <si>
    <t>Share of profit (auto)</t>
  </si>
  <si>
    <t>Closing balance (auto)</t>
  </si>
  <si>
    <t>Total</t>
  </si>
  <si>
    <t>Capital per books (−CAP per Calc + profit for the year)</t>
  </si>
  <si>
    <t>Difference (must be zero — see Checks)</t>
  </si>
  <si>
    <t>If share of profit does not tie, check that interest/remuneration credited to partners sit in ledgers mapped CAP, and the corresponding P&amp;L debits in PINT / PREM.</t>
  </si>
  <si>
    <t>Section 40(b) helper — allowable remuneration (for the firm’s/LLP’s tax computation; NOT printed)</t>
  </si>
  <si>
    <t>Book profit (PBIRT less interest on capital)</t>
  </si>
  <si>
    <t>Maximum allowable remuneration u/s 40(b)</t>
  </si>
  <si>
    <t>Remuneration charged (per the grid above)</t>
  </si>
  <si>
    <t>Excess (disallowable), if any</t>
  </si>
  <si>
    <t>Limits per Finance (No. 2) Act 2024 (AY 2025-26 onwards): on the first Rs 6,00,000 of book profit (or loss) — Rs 3,00,000 or 90% of book profit, whichever is higher; on the balance — 60%. Interest allowable up to 12% simple p.a. Applies to working partners of firms/LLPs; not applicable to proprietorships.</t>
  </si>
  <si>
    <t>Depreciation — block-wise (Income-tax WDV; SLM optional)</t>
  </si>
  <si>
    <t>Block of assets</t>
  </si>
  <si>
    <t>Rate</t>
  </si>
  <si>
    <t>Opening WDV</t>
  </si>
  <si>
    <t>Additions ≥ 180 days</t>
  </si>
  <si>
    <t>Additions &lt; 180 days</t>
  </si>
  <si>
    <t>Sale / realisation</t>
  </si>
  <si>
    <t>Dep for year (auto)</t>
  </si>
  <si>
    <t>Closing WDV (auto)</t>
  </si>
  <si>
    <t>Building — office / factory</t>
  </si>
  <si>
    <t>Building — residential</t>
  </si>
  <si>
    <t>Furniture and fittings</t>
  </si>
  <si>
    <t>Plant and machinery — general</t>
  </si>
  <si>
    <t>Motor cars</t>
  </si>
  <si>
    <t>Motor vehicles — commercial / hire</t>
  </si>
  <si>
    <t>Computers and software</t>
  </si>
  <si>
    <t>Intangible assets</t>
  </si>
  <si>
    <t>Book this depreciation in the TB: Dr a ledger mapped DEPAM, Cr the asset ledgers (mapped PPE/INTAN).</t>
  </si>
  <si>
    <t>Depreciation per this sheet vs DEPAM mapped in the TB (info)</t>
  </si>
  <si>
    <t>Half depreciation applies to additions put to use for less than 180 days. If sale proceeds exceed the block, the block ceases (capital gain arises) — depreciation computes as nil.</t>
  </si>
  <si>
    <t>Particulars</t>
  </si>
  <si>
    <t>Note</t>
  </si>
  <si>
    <t>I. EQUITY AND LIABILITIES</t>
  </si>
  <si>
    <t>1. Owners’ Fund</t>
  </si>
  <si>
    <t xml:space="preserve">    (b) Reserves and surplus</t>
  </si>
  <si>
    <t>2. Non-current liabilities</t>
  </si>
  <si>
    <t xml:space="preserve">    (a) Long-term borrowings</t>
  </si>
  <si>
    <t xml:space="preserve">    (c) Deferred tax liabilities (net)</t>
  </si>
  <si>
    <t xml:space="preserve">    (d) Other long-term liabilities</t>
  </si>
  <si>
    <t xml:space="preserve">    (e) Long-term provisions</t>
  </si>
  <si>
    <t>3. Current liabilities</t>
  </si>
  <si>
    <t xml:space="preserve">    (a) Short-term borrowings</t>
  </si>
  <si>
    <t xml:space="preserve">    (b) Trade payables</t>
  </si>
  <si>
    <t xml:space="preserve">         (i) total outstanding dues of micro and small enterprises</t>
  </si>
  <si>
    <t xml:space="preserve">         (ii) total outstanding dues of creditors other than micro and small enterprises</t>
  </si>
  <si>
    <t xml:space="preserve">    (c) Other current liabilities</t>
  </si>
  <si>
    <t xml:space="preserve">    (d) Short-term provisions</t>
  </si>
  <si>
    <t>TOTAL</t>
  </si>
  <si>
    <t>II. ASSETS</t>
  </si>
  <si>
    <t>1. Non-current assets</t>
  </si>
  <si>
    <t xml:space="preserve">    (a) Property, plant and equipment and intangible assets</t>
  </si>
  <si>
    <t xml:space="preserve">         (i) Property, plant and equipment</t>
  </si>
  <si>
    <t xml:space="preserve">         (ii) Intangible assets</t>
  </si>
  <si>
    <t xml:space="preserve">         (iii) Capital work-in-progress</t>
  </si>
  <si>
    <t xml:space="preserve">         (iv) Intangible assets under development</t>
  </si>
  <si>
    <t xml:space="preserve">    (b) Non-current investments</t>
  </si>
  <si>
    <t xml:space="preserve">    (c) Deferred tax assets (net)</t>
  </si>
  <si>
    <t xml:space="preserve">    (d) Long-term loans and advances</t>
  </si>
  <si>
    <t xml:space="preserve">    (e) Other non-current assets</t>
  </si>
  <si>
    <t>2. Current assets</t>
  </si>
  <si>
    <t xml:space="preserve">    (a) Current investments</t>
  </si>
  <si>
    <t xml:space="preserve">    (b) Inventories</t>
  </si>
  <si>
    <t xml:space="preserve">    (c) Trade receivables</t>
  </si>
  <si>
    <t xml:space="preserve">    (d) Cash and cash equivalents</t>
  </si>
  <si>
    <t xml:space="preserve">    (e) Short-term loans and advances</t>
  </si>
  <si>
    <t xml:space="preserve">    (f) Other current assets</t>
  </si>
  <si>
    <t>Check: assets minus equity and liabilities (must be zero)</t>
  </si>
  <si>
    <t>Significant accounting policies (Note 1) and the accompanying notes form an integral part of the financial statements.</t>
  </si>
  <si>
    <t>As per our report of even date</t>
  </si>
  <si>
    <t>I. Revenue from operations</t>
  </si>
  <si>
    <t>II. Other income</t>
  </si>
  <si>
    <t>III. Total income (I + II)</t>
  </si>
  <si>
    <t>IV. Expenses</t>
  </si>
  <si>
    <t xml:space="preserve">    Cost of materials consumed</t>
  </si>
  <si>
    <t xml:space="preserve">    Purchases of stock-in-trade</t>
  </si>
  <si>
    <t xml:space="preserve">    Changes in inventories of finished goods, WIP and stock-in-trade</t>
  </si>
  <si>
    <t xml:space="preserve">    Employee benefits expense</t>
  </si>
  <si>
    <t xml:space="preserve">    Finance costs</t>
  </si>
  <si>
    <t xml:space="preserve">    Depreciation and amortisation expense</t>
  </si>
  <si>
    <t xml:space="preserve">    Other expenses</t>
  </si>
  <si>
    <t xml:space="preserve">    Exceptional items</t>
  </si>
  <si>
    <t xml:space="preserve">    Total expenses</t>
  </si>
  <si>
    <t xml:space="preserve">    Less: Interest on partners’ capital</t>
  </si>
  <si>
    <t xml:space="preserve">    Less: Partners’ remuneration</t>
  </si>
  <si>
    <t>VI. Profit before tax</t>
  </si>
  <si>
    <t>VII. Tax expense</t>
  </si>
  <si>
    <t xml:space="preserve">    (a) Current tax</t>
  </si>
  <si>
    <t xml:space="preserve">    (b) Deferred tax charge / (credit)</t>
  </si>
  <si>
    <t>For a proprietorship the interest/remuneration rows read zero — delete them if you prefer (the sheet is unlocked).</t>
  </si>
  <si>
    <t>Notes to the Balance Sheet</t>
  </si>
  <si>
    <t>Opening</t>
  </si>
  <si>
    <t>Introduced</t>
  </si>
  <si>
    <t>Interest</t>
  </si>
  <si>
    <t>Withdrawals</t>
  </si>
  <si>
    <t>Share of profit</t>
  </si>
  <si>
    <t>Closing</t>
  </si>
  <si>
    <t>Previous year — closing balance</t>
  </si>
  <si>
    <t>Note 3 — Reserves and surplus</t>
  </si>
  <si>
    <t>Other items (grouped)</t>
  </si>
  <si>
    <t>Note 4 — Long-term borrowings</t>
  </si>
  <si>
    <t>Note 5 — Loans from partners</t>
  </si>
  <si>
    <t>Note 7 — Other long-term liabilities</t>
  </si>
  <si>
    <t>Note 8 — Long-term provisions</t>
  </si>
  <si>
    <t>Note 9 — Short-term borrowings</t>
  </si>
  <si>
    <t>Note 11 — Other current liabilities</t>
  </si>
  <si>
    <t>Note 12 — Short-term provisions</t>
  </si>
  <si>
    <t>Note 6 — Deferred tax (only if AS 22 is applied)</t>
  </si>
  <si>
    <t>Net deferred tax liability / (asset) per books</t>
  </si>
  <si>
    <t>Note 10 — Trade payables</t>
  </si>
  <si>
    <t>Total outstanding dues of micro and small enterprises</t>
  </si>
  <si>
    <t>Total outstanding dues of creditors other than micro and small enterprises</t>
  </si>
  <si>
    <t>Note 13 — Property, plant and equipment and intangible assets</t>
  </si>
  <si>
    <t>Block</t>
  </si>
  <si>
    <t>Additions</t>
  </si>
  <si>
    <t>Deletions</t>
  </si>
  <si>
    <t>Depreciation</t>
  </si>
  <si>
    <t>Closing WDV</t>
  </si>
  <si>
    <t>Net block per books (PPE + intangibles per TB)</t>
  </si>
  <si>
    <t>If the closing WDV differs from books, either book the depreciation entry (see Dep sheet) or explain the difference (e.g. books follow SLM).</t>
  </si>
  <si>
    <t>Note 14 — Non-current investments</t>
  </si>
  <si>
    <t>Note 15 — Long-term loans and advances</t>
  </si>
  <si>
    <t>Note 16 — Other non-current assets</t>
  </si>
  <si>
    <t>Note 17 — Current investments</t>
  </si>
  <si>
    <t>Note 18 — Inventories</t>
  </si>
  <si>
    <t>Note 19 — Trade receivables</t>
  </si>
  <si>
    <t>Note 20 — Cash and cash equivalents</t>
  </si>
  <si>
    <t>Note 21 — Short-term loans and advances</t>
  </si>
  <si>
    <t>Note 22 — Other current assets</t>
  </si>
  <si>
    <t>Note 33 — Contingent liabilities and commitments</t>
  </si>
  <si>
    <t>Guarantees given</t>
  </si>
  <si>
    <t>Capital commitments (net of advances)</t>
  </si>
  <si>
    <t>Notes to the Statement of Profit and Loss</t>
  </si>
  <si>
    <t>Note 23 — Revenue from operations</t>
  </si>
  <si>
    <t>Note 24 — Other income</t>
  </si>
  <si>
    <t>Note 25 — Cost of materials consumed</t>
  </si>
  <si>
    <t>Note 26 — Purchases of stock-in-trade</t>
  </si>
  <si>
    <t>Note 27 — Changes in inventories</t>
  </si>
  <si>
    <t>Note 28 — Employee benefits expense</t>
  </si>
  <si>
    <t>Note 29 — Finance costs</t>
  </si>
  <si>
    <t>Note 30 — Other expenses</t>
  </si>
  <si>
    <t>Note 31 — Interest on partners’ capital</t>
  </si>
  <si>
    <t>Note 32 — Partners’ remuneration</t>
  </si>
  <si>
    <t>Note 1 — Significant accounting policies</t>
  </si>
  <si>
    <t>Edit freely — the wording below adapts to the entity type and depreciation method chosen on Setup.</t>
  </si>
  <si>
    <t>1.1 Entity and basis of preparation.</t>
  </si>
  <si>
    <t>1.2 Use of estimates.</t>
  </si>
  <si>
    <t>The preparation of financial statements requires the management to make estimates and assumptions that affect the reported amounts of assets, liabilities, income and expenses and the disclosure of contingent liabilities as at the date of the financial statements. Actual results could differ from those estimates; any revision is recognised prospectively in the period in which the estimate is revised.</t>
  </si>
  <si>
    <t>1.3 Property, plant and equipment and depreciation.</t>
  </si>
  <si>
    <t>1.4 Revenue recognition.</t>
  </si>
  <si>
    <t>Revenue from the sale of goods is recognised when the significant risks and rewards of ownership have passed to the buyer, and is measured net of returns, trade discounts and goods and services tax. Revenue from services is recognised as the services are performed. Interest income is recognised on a time proportion basis.</t>
  </si>
  <si>
    <t>1.5 Employee benefits.</t>
  </si>
  <si>
    <t>Short-term employee benefits are recognised as an expense in the period in which the related service is rendered. Contributions to defined contribution schemes such as provident fund are charged to the statement of profit and loss as incurred.</t>
  </si>
  <si>
    <t>1.6 Taxes on income.</t>
  </si>
  <si>
    <t>1.7 Capital accounts.</t>
  </si>
  <si>
    <t>1.8 Provisions, contingent liabilities and contingent assets.</t>
  </si>
  <si>
    <t>A provision is recognised when there is a present obligation as a result of a past event, it is probable that an outflow of resources will be required to settle the obligation, and a reliable estimate can be made of the amount. Contingent liabilities are disclosed by way of notes and are not provided for. Contingent assets are neither recognised nor disclosed.</t>
  </si>
  <si>
    <t>1.9 Dues to micro and small enterprises.</t>
  </si>
  <si>
    <t>Dues to micro and small enterprises are identified on the basis of information and declarations collected from suppliers regarding their status under the Micro, Small and Medium Enterprises Development Act, 2006, and the disclosures required by that Act are made accordingly.</t>
  </si>
  <si>
    <t>A. Operating activities</t>
  </si>
  <si>
    <t>Profit before tax</t>
  </si>
  <si>
    <t>Add: depreciation and amortisation</t>
  </si>
  <si>
    <t>Add: finance costs</t>
  </si>
  <si>
    <t>Add: interest on partners’ capital and remuneration (non-cash appropriations, credited to capital)</t>
  </si>
  <si>
    <t>(Increase)/decrease in inventories</t>
  </si>
  <si>
    <t>(Increase)/decrease in trade receivables</t>
  </si>
  <si>
    <t>(Increase)/decrease in loans, advances and other assets</t>
  </si>
  <si>
    <t>Increase/(decrease) in trade payables</t>
  </si>
  <si>
    <t>Increase/(decrease) in other liabilities and provisions</t>
  </si>
  <si>
    <t>Less: income taxes paid (enter)</t>
  </si>
  <si>
    <t>Net cash from operating activities (A)</t>
  </si>
  <si>
    <t>B. Investing activities</t>
  </si>
  <si>
    <t>Purchase of PPE / intangibles (enter as negative)</t>
  </si>
  <si>
    <t>Proceeds from sale of PPE (enter)</t>
  </si>
  <si>
    <t>(Purchase)/sale of investments — net</t>
  </si>
  <si>
    <t>Net cash used in investing activities (B)</t>
  </si>
  <si>
    <t>C. Financing activities</t>
  </si>
  <si>
    <t>Capital introduced less withdrawals (per the Capital sheet)</t>
  </si>
  <si>
    <t>Borrowings raised/(repaid) — net (incl. partner loans)</t>
  </si>
  <si>
    <t>Finance costs paid</t>
  </si>
  <si>
    <t>Net cash from financing activities (C)</t>
  </si>
  <si>
    <t>Net increase/(decrease) in cash (A + B + C)</t>
  </si>
  <si>
    <t>Cash and cash equivalents — opening</t>
  </si>
  <si>
    <t>Cash and cash equivalents — closing (derived)</t>
  </si>
  <si>
    <t>Closing cash per the balance sheet</t>
  </si>
  <si>
    <t>Difference (zero when the input lines are complete)</t>
  </si>
  <si>
    <t>Checks — every row must read PASS before you print</t>
  </si>
  <si>
    <t>Check</t>
  </si>
  <si>
    <t>Value</t>
  </si>
  <si>
    <t>Status</t>
  </si>
  <si>
    <t>Trial balance CY balances (Dr = Cr)</t>
  </si>
  <si>
    <t>Trial balance PY balances (Dr = Cr)</t>
  </si>
  <si>
    <t>All TB rows with amounts are mapped</t>
  </si>
  <si>
    <t>Balance sheet balances — current year</t>
  </si>
  <si>
    <t>Balance sheet balances — previous year</t>
  </si>
  <si>
    <t>Capital sheet closing ties to capital per books</t>
  </si>
  <si>
    <t>Profit-sharing percentages total 100 (or all blank)</t>
  </si>
  <si>
    <t>P&amp;L profit equals profit credited to capital</t>
  </si>
  <si>
    <t>Depreciation sheet ties to DEPAM in the TB (info only)</t>
  </si>
  <si>
    <t>Cash flow reconciles to closing cash (only if included)</t>
  </si>
  <si>
    <t>All clear?</t>
  </si>
  <si>
    <t>The entity is a partnership firm constituted under the Indian Partnership Act, 1932 and governed by its partnership deed. These financial statements have been prepared on the accrual basis of accounting under the historical cost convention, in accordance with the Generally Accepted Accounting Principles in India, including the Accounting Standards issued by the Institute of Chartered Accountants of India (ICAI) to the extent applicable to the entity, and are presented in accordance with the ICAI Guidance Note on Financial Statements of Non-Corporate Entities. The accounting policies set out below have been applied consistently, except where stated otherwise.</t>
  </si>
  <si>
    <t>Property, plant and equipment are stated at cost less accumulated depreciation and impairment losses, if any. Depreciation is provided block-wise on the written down value method, generally at the rates prescribed under the Income-tax Act, 1961, which the management considers representative of the useful lives of the assets; additions put to use for less than 180 days are depreciated at half the annual rate.</t>
  </si>
  <si>
    <t>The firm maintains fluctuating capital accounts of the partners. Interest on capital and remuneration to working partners are provided as authorised by the partnership deed, within the limits specified in section 40(b) of the Income-tax Act, 1961, and are presented as appropriations in the Statement of Profit and Loss. The profit for the year after such appropriations and tax is transferred to the partners’ capital accounts in their profit-sharing ratio.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</si>
</sst>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0;\(#,##0\)"/>
    <numFmt numFmtId="166" formatCode="#,##0.00;\(#,##0.00\)"/>
  </numFmts>
  <fonts count="7" x14ac:knownFonts="1">
    <font>
      <sz val="11"/>
      <color theme="1"/>
      <name val="Calibri"/>
      <family val="2"/>
      <charset val="1"/>
    </font>
    <font>
      <sz val="10"/>
      <name val="Arial"/>
      <charset val="1"/>
    </font>
    <font>
      <b/>
      <sz val="14"/>
      <color rgb="FF1F3864"/>
      <name val="Arial"/>
      <charset val="1"/>
    </font>
    <font>
      <sz val="9"/>
      <color rgb="FF595959"/>
      <name val="Arial"/>
      <charset val="1"/>
    </font>
    <font>
      <b/>
      <sz val="11"/>
      <color rgb="FF1F3864"/>
      <name val="Arial"/>
      <charset val="1"/>
    </font>
    <font>
      <sz val="10"/>
      <color rgb="FF0000FF"/>
      <name val="Arial"/>
      <charset val="1"/>
    </font>
    <font>
      <b/>
      <sz val="10"/>
      <name val="Arial"/>
      <charset val="1"/>
    </font>
  </fonts>
  <fills count="4">
    <fill>
      <patternFill patternType="none"/>
    </fill>
    <fill>
      <patternFill patternType="gray125"/>
    </fill>
    <fill>
      <patternFill patternType="solid">
        <fgColor rgb="FFFFF2CC"/>
        <bgColor rgb="FFFFFFFF"/>
      </patternFill>
    </fill>
    <fill>
      <patternFill patternType="solid">
        <fgColor rgb="FFD9E2F3"/>
        <bgColor rgb="FFBDD7EE"/>
      </patternFill>
    </fill>
  </fills>
  <borders count="2">
    <border>
      <left/>
      <right/>
      <top/>
      <bottom/>
      <diagonal/>
    </border>
    <border>
      <left/>
      <right/>
      <top style="thin">
        <color auto="1"/>
      </top>
      <bottom style="double">
        <color auto="1"/>
      </bottom>
      <diagonal/>
    </border>
  </borders>
  <cellStyleXfs count="1">
    <xf numFmtId="0" fontId="0" fillId="0" borderId="0"/>
  </cellStyleXfs>
  <cellXfs count="20">
    <xf numFmtId="0" fontId="0" fillId="0" borderId="0" xfId="0"/>
    <xf numFmtId="0" fontId="2" fillId="0" borderId="0" xfId="0" applyFont="1"/>
    <xf numFmtId="0" fontId="3" fillId="0" borderId="0" xfId="0" applyFont="1"/>
    <xf numFmtId="0" fontId="4" fillId="0" borderId="0" xfId="0" applyFont="1"/>
    <xf numFmtId="0" fontId="1" fillId="0" borderId="0" xfId="0" applyFont="1"/>
    <xf numFmtId="49" fontId="5" fillId="2" borderId="0" xfId="0" applyNumberFormat="1" applyFont="1" applyFill="1"/>
    <xf numFmtId="164" fontId="5" fillId="2" borderId="0" xfId="0" applyNumberFormat="1" applyFont="1" applyFill="1"/>
    <xf numFmtId="0" fontId="6" fillId="0" borderId="0" xfId="0" applyFont="1"/>
    <xf numFmtId="165" fontId="5" fillId="2" borderId="0" xfId="0" applyNumberFormat="1" applyFont="1" applyFill="1"/>
    <xf numFmtId="0" fontId="6" fillId="3" borderId="0" xfId="0" applyFont="1" applyFill="1"/>
    <xf numFmtId="0" fontId="5" fillId="2" borderId="0" xfId="0" applyFont="1" applyFill="1"/>
    <xf numFmtId="166" fontId="5" fillId="2" borderId="0" xfId="0" applyNumberFormat="1" applyFont="1" applyFill="1"/>
    <xf numFmtId="166" fontId="6" fillId="0" borderId="0" xfId="0" applyNumberFormat="1" applyFont="1"/>
    <xf numFmtId="165" fontId="6" fillId="0" borderId="0" xfId="0" applyNumberFormat="1" applyFont="1"/>
    <xf numFmtId="166" fontId="1" fillId="0" borderId="0" xfId="0" applyNumberFormat="1" applyFont="1"/>
    <xf numFmtId="165" fontId="1" fillId="0" borderId="0" xfId="0" applyNumberFormat="1" applyFont="1"/>
    <xf numFmtId="166" fontId="6" fillId="0" borderId="1" xfId="0" applyNumberFormat="1" applyFont="1" applyBorder="1"/>
    <xf numFmtId="9" fontId="5" fillId="2" borderId="0" xfId="0" applyNumberFormat="1" applyFont="1" applyFill="1"/>
    <xf numFmtId="0" fontId="1" fillId="0" borderId="0" xfId="0" applyFont="1" applyAlignment="1">
      <alignment horizontal="center"/>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D9E2F3"/>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CCFFFF"/>
      <rgbColor rgb="FFCCFFCC"/>
      <rgbColor rgb="FFFFFF99"/>
      <rgbColor rgb="FFA9D18E"/>
      <rgbColor rgb="FFFF99CC"/>
      <rgbColor rgb="FFCC99FF"/>
      <rgbColor rgb="FFFFCC99"/>
      <rgbColor rgb="FF2E75B6"/>
      <rgbColor rgb="FF33CCCC"/>
      <rgbColor rgb="FF99CC00"/>
      <rgbColor rgb="FFFFC000"/>
      <rgbColor rgb="FFFF9900"/>
      <rgbColor rgb="FFED7D31"/>
      <rgbColor rgb="FF595959"/>
      <rgbColor rgb="FF70AD47"/>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E75B6"/>
  </sheetPr>
  <dimension ref="B2:D46"/>
  <sheetViews>
    <sheetView showGridLines="0" tabSelected="1" zoomScaleNormal="100" workbookViewId="0">
      <selection activeCell="C16" sqref="C16"/>
    </sheetView>
  </sheetViews>
  <sheetFormatPr defaultColWidth="8.7109375" defaultRowHeight="15" x14ac:dyDescent="0.25"/>
  <cols>
    <col min="2" max="2" width="46" customWidth="1"/>
    <col min="3" max="3" width="34" customWidth="1"/>
    <col min="4" max="4" width="46" customWidth="1"/>
  </cols>
  <sheetData>
    <row r="2" spans="2:4" ht="18" x14ac:dyDescent="0.25">
      <c r="B2" s="1" t="s">
        <v>0</v>
      </c>
    </row>
    <row r="4" spans="2:4" x14ac:dyDescent="0.25">
      <c r="B4" s="3" t="s">
        <v>1</v>
      </c>
    </row>
    <row r="5" spans="2:4" x14ac:dyDescent="0.25">
      <c r="B5" s="4" t="s">
        <v>2</v>
      </c>
      <c r="C5" s="5" t="s">
        <v>3</v>
      </c>
    </row>
    <row r="6" spans="2:4" x14ac:dyDescent="0.25">
      <c r="B6" s="4" t="s">
        <v>4</v>
      </c>
      <c r="C6" s="5" t="s">
        <v>5</v>
      </c>
      <c r="D6" s="2" t="s">
        <v>6</v>
      </c>
    </row>
    <row r="7" spans="2:4" x14ac:dyDescent="0.25">
      <c r="B7" s="4" t="s">
        <v>7</v>
      </c>
      <c r="C7" s="5"/>
    </row>
    <row r="8" spans="2:4" x14ac:dyDescent="0.25">
      <c r="B8" s="4" t="s">
        <v>8</v>
      </c>
      <c r="C8" s="5"/>
    </row>
    <row r="9" spans="2:4" x14ac:dyDescent="0.25">
      <c r="B9" s="4" t="s">
        <v>9</v>
      </c>
      <c r="C9" s="5" t="s">
        <v>10</v>
      </c>
    </row>
    <row r="10" spans="2:4" x14ac:dyDescent="0.25">
      <c r="B10" s="4" t="s">
        <v>11</v>
      </c>
      <c r="C10" s="5" t="s">
        <v>12</v>
      </c>
    </row>
    <row r="11" spans="2:4" x14ac:dyDescent="0.25">
      <c r="B11" s="4" t="s">
        <v>13</v>
      </c>
      <c r="C11" s="6">
        <v>46112</v>
      </c>
    </row>
    <row r="12" spans="2:4" x14ac:dyDescent="0.25">
      <c r="B12" s="4" t="s">
        <v>14</v>
      </c>
      <c r="C12" s="5" t="s">
        <v>15</v>
      </c>
    </row>
    <row r="13" spans="2:4" x14ac:dyDescent="0.25">
      <c r="B13" s="4" t="s">
        <v>16</v>
      </c>
      <c r="C13" s="6">
        <v>45747</v>
      </c>
    </row>
    <row r="15" spans="2:4" x14ac:dyDescent="0.25">
      <c r="B15" s="3" t="s">
        <v>17</v>
      </c>
    </row>
    <row r="16" spans="2:4" x14ac:dyDescent="0.25">
      <c r="B16" s="4" t="s">
        <v>18</v>
      </c>
      <c r="C16" s="5" t="s">
        <v>19</v>
      </c>
      <c r="D16" s="2" t="s">
        <v>20</v>
      </c>
    </row>
    <row r="17" spans="2:4" x14ac:dyDescent="0.25">
      <c r="B17" s="4" t="s">
        <v>21</v>
      </c>
      <c r="C17" s="2" t="s">
        <v>22</v>
      </c>
    </row>
    <row r="18" spans="2:4" x14ac:dyDescent="0.25">
      <c r="B18" s="4" t="s">
        <v>23</v>
      </c>
      <c r="C18" s="4">
        <f>IF(C16="Actual",1,IF(C16="Hundreds",100,IF(C16="Thousands",1000,100000)))</f>
        <v>1</v>
      </c>
    </row>
    <row r="19" spans="2:4" x14ac:dyDescent="0.25">
      <c r="B19" s="4" t="s">
        <v>24</v>
      </c>
      <c r="C19" s="4" t="str">
        <f>"Amounts in Rs"&amp;IF(C16="Actual",""," "&amp;C16)</f>
        <v>Amounts in Rs</v>
      </c>
    </row>
    <row r="20" spans="2:4" x14ac:dyDescent="0.25">
      <c r="B20" s="4" t="s">
        <v>25</v>
      </c>
      <c r="C20" s="5" t="s">
        <v>26</v>
      </c>
      <c r="D20" s="2" t="s">
        <v>27</v>
      </c>
    </row>
    <row r="21" spans="2:4" x14ac:dyDescent="0.25">
      <c r="B21" s="4" t="s">
        <v>28</v>
      </c>
      <c r="C21" s="5" t="s">
        <v>29</v>
      </c>
      <c r="D21" s="2" t="s">
        <v>30</v>
      </c>
    </row>
    <row r="23" spans="2:4" x14ac:dyDescent="0.25">
      <c r="B23" s="3" t="s">
        <v>31</v>
      </c>
    </row>
    <row r="24" spans="2:4" x14ac:dyDescent="0.25">
      <c r="B24" s="7" t="s">
        <v>32</v>
      </c>
      <c r="C24" s="7" t="s">
        <v>33</v>
      </c>
      <c r="D24" s="7" t="s">
        <v>34</v>
      </c>
    </row>
    <row r="25" spans="2:4" x14ac:dyDescent="0.25">
      <c r="B25" s="5" t="s">
        <v>35</v>
      </c>
      <c r="C25" s="5"/>
      <c r="D25" s="8">
        <v>50</v>
      </c>
    </row>
    <row r="26" spans="2:4" x14ac:dyDescent="0.25">
      <c r="B26" s="5" t="s">
        <v>36</v>
      </c>
      <c r="C26" s="5"/>
      <c r="D26" s="8">
        <v>50</v>
      </c>
    </row>
    <row r="27" spans="2:4" x14ac:dyDescent="0.25">
      <c r="B27" s="5"/>
      <c r="C27" s="5"/>
      <c r="D27" s="8"/>
    </row>
    <row r="28" spans="2:4" x14ac:dyDescent="0.25">
      <c r="B28" s="5"/>
      <c r="C28" s="5"/>
      <c r="D28" s="8"/>
    </row>
    <row r="29" spans="2:4" x14ac:dyDescent="0.25">
      <c r="B29" s="5"/>
      <c r="C29" s="5"/>
      <c r="D29" s="8"/>
    </row>
    <row r="30" spans="2:4" x14ac:dyDescent="0.25">
      <c r="B30" s="5"/>
      <c r="C30" s="5"/>
      <c r="D30" s="8"/>
    </row>
    <row r="31" spans="2:4" x14ac:dyDescent="0.25">
      <c r="B31" s="2" t="s">
        <v>37</v>
      </c>
    </row>
    <row r="33" spans="2:3" x14ac:dyDescent="0.25">
      <c r="B33" s="3" t="s">
        <v>38</v>
      </c>
    </row>
    <row r="34" spans="2:3" x14ac:dyDescent="0.25">
      <c r="B34" s="4" t="s">
        <v>39</v>
      </c>
      <c r="C34" s="5" t="s">
        <v>40</v>
      </c>
    </row>
    <row r="35" spans="2:3" x14ac:dyDescent="0.25">
      <c r="B35" s="4" t="s">
        <v>41</v>
      </c>
      <c r="C35" s="5"/>
    </row>
    <row r="36" spans="2:3" x14ac:dyDescent="0.25">
      <c r="B36" s="4" t="s">
        <v>42</v>
      </c>
      <c r="C36" s="5"/>
    </row>
    <row r="37" spans="2:3" x14ac:dyDescent="0.25">
      <c r="B37" s="4" t="s">
        <v>43</v>
      </c>
      <c r="C37" s="5"/>
    </row>
    <row r="38" spans="2:3" x14ac:dyDescent="0.25">
      <c r="B38" s="4" t="s">
        <v>44</v>
      </c>
      <c r="C38" s="5"/>
    </row>
    <row r="39" spans="2:3" x14ac:dyDescent="0.25">
      <c r="B39" s="4" t="s">
        <v>45</v>
      </c>
      <c r="C39" s="5" t="s">
        <v>46</v>
      </c>
    </row>
    <row r="40" spans="2:3" x14ac:dyDescent="0.25">
      <c r="B40" s="4" t="s">
        <v>47</v>
      </c>
      <c r="C40" s="5"/>
    </row>
    <row r="41" spans="2:3" x14ac:dyDescent="0.25">
      <c r="B41" s="4" t="s">
        <v>48</v>
      </c>
      <c r="C41" s="5"/>
    </row>
    <row r="43" spans="2:3" x14ac:dyDescent="0.25">
      <c r="B43" s="3" t="s">
        <v>49</v>
      </c>
    </row>
    <row r="44" spans="2:3" x14ac:dyDescent="0.25">
      <c r="B44" s="4" t="s">
        <v>50</v>
      </c>
      <c r="C44" s="4" t="str">
        <f>IF(C6="Proprietorship","Proprietor’s capital account",IF(C6="LLP","Partners’ contribution and capital accounts","Partners’ capital accounts"))</f>
        <v>Partners’ capital accounts</v>
      </c>
    </row>
    <row r="45" spans="2:3" x14ac:dyDescent="0.25">
      <c r="B45" s="4" t="s">
        <v>51</v>
      </c>
      <c r="C45" s="4" t="str">
        <f>IF(C6="Proprietorship","Proprietor",IF(C6="LLP","Designated Partner","Partner"))</f>
        <v>Partner</v>
      </c>
    </row>
    <row r="46" spans="2:3" x14ac:dyDescent="0.25">
      <c r="B46" s="4" t="s">
        <v>52</v>
      </c>
      <c r="C46" s="4" t="str">
        <f>IF(C6="Proprietorship","transferred to the proprietor’s capital account","transferred to partners’ capital accounts")</f>
        <v>transferred to partners’ capital accounts</v>
      </c>
    </row>
  </sheetData>
  <dataValidations count="4">
    <dataValidation type="list" sqref="C6">
      <formula1>"Partnership firm,LLP,Proprietorship"</formula1>
      <formula2>0</formula2>
    </dataValidation>
    <dataValidation type="list" sqref="C16">
      <formula1>"Actual,Hundreds,Thousands,Lakhs"</formula1>
      <formula2>0</formula2>
    </dataValidation>
    <dataValidation type="list" sqref="C20">
      <formula1>"Yes,No"</formula1>
      <formula2>0</formula2>
    </dataValidation>
    <dataValidation type="list" sqref="C21">
      <formula1>"WDV,SLM"</formula1>
      <formula2>0</formula2>
    </dataValidation>
  </dataValidation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45"/>
  <sheetViews>
    <sheetView showGridLines="0" zoomScaleNormal="100" workbookViewId="0"/>
  </sheetViews>
  <sheetFormatPr defaultColWidth="8.7109375" defaultRowHeight="15" x14ac:dyDescent="0.25"/>
  <cols>
    <col min="2" max="2" width="12" customWidth="1"/>
    <col min="3" max="3" width="44" customWidth="1"/>
    <col min="4" max="4" width="8" customWidth="1"/>
    <col min="5" max="5" width="78" customWidth="1"/>
  </cols>
  <sheetData>
    <row r="2" spans="2:5" ht="18" x14ac:dyDescent="0.25">
      <c r="B2" s="1" t="s">
        <v>53</v>
      </c>
    </row>
    <row r="3" spans="2:5" x14ac:dyDescent="0.25">
      <c r="B3" s="2" t="s">
        <v>54</v>
      </c>
    </row>
    <row r="5" spans="2:5" x14ac:dyDescent="0.25">
      <c r="B5" s="7" t="s">
        <v>55</v>
      </c>
      <c r="C5" s="7" t="s">
        <v>56</v>
      </c>
      <c r="D5" s="7" t="s">
        <v>57</v>
      </c>
      <c r="E5" s="7" t="s">
        <v>58</v>
      </c>
    </row>
    <row r="6" spans="2:5" x14ac:dyDescent="0.25">
      <c r="B6" s="4" t="s">
        <v>59</v>
      </c>
      <c r="C6" s="4" t="s">
        <v>60</v>
      </c>
      <c r="D6" s="4" t="s">
        <v>61</v>
      </c>
      <c r="E6" s="2" t="s">
        <v>62</v>
      </c>
    </row>
    <row r="7" spans="2:5" x14ac:dyDescent="0.25">
      <c r="B7" s="4" t="s">
        <v>63</v>
      </c>
      <c r="C7" s="4" t="s">
        <v>64</v>
      </c>
      <c r="D7" s="4" t="s">
        <v>61</v>
      </c>
      <c r="E7" s="2" t="s">
        <v>65</v>
      </c>
    </row>
    <row r="8" spans="2:5" x14ac:dyDescent="0.25">
      <c r="B8" s="4" t="s">
        <v>66</v>
      </c>
      <c r="C8" s="4" t="s">
        <v>67</v>
      </c>
      <c r="D8" s="4" t="s">
        <v>61</v>
      </c>
      <c r="E8" s="2" t="s">
        <v>68</v>
      </c>
    </row>
    <row r="9" spans="2:5" x14ac:dyDescent="0.25">
      <c r="B9" s="4" t="s">
        <v>69</v>
      </c>
      <c r="C9" s="4" t="s">
        <v>70</v>
      </c>
      <c r="D9" s="4" t="s">
        <v>61</v>
      </c>
      <c r="E9" s="2" t="s">
        <v>71</v>
      </c>
    </row>
    <row r="10" spans="2:5" x14ac:dyDescent="0.25">
      <c r="B10" s="4" t="s">
        <v>72</v>
      </c>
      <c r="C10" s="4" t="s">
        <v>73</v>
      </c>
      <c r="D10" s="4" t="s">
        <v>61</v>
      </c>
      <c r="E10" s="2" t="s">
        <v>74</v>
      </c>
    </row>
    <row r="11" spans="2:5" x14ac:dyDescent="0.25">
      <c r="B11" s="4" t="s">
        <v>75</v>
      </c>
      <c r="C11" s="4" t="s">
        <v>76</v>
      </c>
      <c r="D11" s="4" t="s">
        <v>61</v>
      </c>
      <c r="E11" s="2" t="s">
        <v>77</v>
      </c>
    </row>
    <row r="12" spans="2:5" x14ac:dyDescent="0.25">
      <c r="B12" s="4" t="s">
        <v>78</v>
      </c>
      <c r="C12" s="4" t="s">
        <v>79</v>
      </c>
      <c r="D12" s="4" t="s">
        <v>61</v>
      </c>
      <c r="E12" s="2" t="s">
        <v>80</v>
      </c>
    </row>
    <row r="13" spans="2:5" x14ac:dyDescent="0.25">
      <c r="B13" s="4" t="s">
        <v>81</v>
      </c>
      <c r="C13" s="4" t="s">
        <v>82</v>
      </c>
      <c r="D13" s="4" t="s">
        <v>61</v>
      </c>
      <c r="E13" s="2" t="s">
        <v>83</v>
      </c>
    </row>
    <row r="14" spans="2:5" x14ac:dyDescent="0.25">
      <c r="B14" s="4" t="s">
        <v>84</v>
      </c>
      <c r="C14" s="4" t="s">
        <v>85</v>
      </c>
      <c r="D14" s="4" t="s">
        <v>61</v>
      </c>
      <c r="E14" s="2" t="s">
        <v>86</v>
      </c>
    </row>
    <row r="15" spans="2:5" x14ac:dyDescent="0.25">
      <c r="B15" s="4" t="s">
        <v>87</v>
      </c>
      <c r="C15" s="4" t="s">
        <v>88</v>
      </c>
      <c r="D15" s="4" t="s">
        <v>61</v>
      </c>
      <c r="E15" s="2" t="s">
        <v>89</v>
      </c>
    </row>
    <row r="16" spans="2:5" x14ac:dyDescent="0.25">
      <c r="B16" s="4" t="s">
        <v>90</v>
      </c>
      <c r="C16" s="4" t="s">
        <v>91</v>
      </c>
      <c r="D16" s="4" t="s">
        <v>61</v>
      </c>
      <c r="E16" s="2" t="s">
        <v>92</v>
      </c>
    </row>
    <row r="17" spans="2:5" x14ac:dyDescent="0.25">
      <c r="B17" s="4" t="s">
        <v>93</v>
      </c>
      <c r="C17" s="4" t="s">
        <v>94</v>
      </c>
      <c r="D17" s="4" t="s">
        <v>61</v>
      </c>
      <c r="E17" s="2" t="s">
        <v>95</v>
      </c>
    </row>
    <row r="18" spans="2:5" x14ac:dyDescent="0.25">
      <c r="B18" s="4" t="s">
        <v>96</v>
      </c>
      <c r="C18" s="4" t="s">
        <v>97</v>
      </c>
      <c r="D18" s="4" t="s">
        <v>98</v>
      </c>
      <c r="E18" s="2" t="s">
        <v>99</v>
      </c>
    </row>
    <row r="19" spans="2:5" x14ac:dyDescent="0.25">
      <c r="B19" s="4" t="s">
        <v>100</v>
      </c>
      <c r="C19" s="4" t="s">
        <v>101</v>
      </c>
      <c r="D19" s="4" t="s">
        <v>98</v>
      </c>
      <c r="E19" s="2" t="s">
        <v>102</v>
      </c>
    </row>
    <row r="20" spans="2:5" x14ac:dyDescent="0.25">
      <c r="B20" s="4" t="s">
        <v>103</v>
      </c>
      <c r="C20" s="4" t="s">
        <v>104</v>
      </c>
      <c r="D20" s="4" t="s">
        <v>98</v>
      </c>
      <c r="E20" s="2" t="s">
        <v>105</v>
      </c>
    </row>
    <row r="21" spans="2:5" x14ac:dyDescent="0.25">
      <c r="B21" s="4" t="s">
        <v>106</v>
      </c>
      <c r="C21" s="4" t="s">
        <v>107</v>
      </c>
      <c r="D21" s="4" t="s">
        <v>98</v>
      </c>
      <c r="E21" s="2" t="s">
        <v>108</v>
      </c>
    </row>
    <row r="22" spans="2:5" x14ac:dyDescent="0.25">
      <c r="B22" s="4" t="s">
        <v>109</v>
      </c>
      <c r="C22" s="4" t="s">
        <v>110</v>
      </c>
      <c r="D22" s="4" t="s">
        <v>98</v>
      </c>
      <c r="E22" s="2" t="s">
        <v>111</v>
      </c>
    </row>
    <row r="23" spans="2:5" x14ac:dyDescent="0.25">
      <c r="B23" s="4" t="s">
        <v>112</v>
      </c>
      <c r="C23" s="4" t="s">
        <v>113</v>
      </c>
      <c r="D23" s="4" t="s">
        <v>98</v>
      </c>
      <c r="E23" s="2" t="s">
        <v>114</v>
      </c>
    </row>
    <row r="24" spans="2:5" x14ac:dyDescent="0.25">
      <c r="B24" s="4" t="s">
        <v>115</v>
      </c>
      <c r="C24" s="4" t="s">
        <v>116</v>
      </c>
      <c r="D24" s="4" t="s">
        <v>98</v>
      </c>
      <c r="E24" s="2" t="s">
        <v>117</v>
      </c>
    </row>
    <row r="25" spans="2:5" x14ac:dyDescent="0.25">
      <c r="B25" s="4" t="s">
        <v>118</v>
      </c>
      <c r="C25" s="4" t="s">
        <v>119</v>
      </c>
      <c r="D25" s="4" t="s">
        <v>98</v>
      </c>
      <c r="E25" s="2" t="s">
        <v>119</v>
      </c>
    </row>
    <row r="26" spans="2:5" x14ac:dyDescent="0.25">
      <c r="B26" s="4" t="s">
        <v>120</v>
      </c>
      <c r="C26" s="4" t="s">
        <v>121</v>
      </c>
      <c r="D26" s="4" t="s">
        <v>98</v>
      </c>
      <c r="E26" s="2" t="s">
        <v>122</v>
      </c>
    </row>
    <row r="27" spans="2:5" x14ac:dyDescent="0.25">
      <c r="B27" s="4" t="s">
        <v>123</v>
      </c>
      <c r="C27" s="4" t="s">
        <v>124</v>
      </c>
      <c r="D27" s="4" t="s">
        <v>98</v>
      </c>
      <c r="E27" s="2" t="s">
        <v>125</v>
      </c>
    </row>
    <row r="28" spans="2:5" x14ac:dyDescent="0.25">
      <c r="B28" s="4" t="s">
        <v>126</v>
      </c>
      <c r="C28" s="4" t="s">
        <v>127</v>
      </c>
      <c r="D28" s="4" t="s">
        <v>98</v>
      </c>
      <c r="E28" s="2" t="s">
        <v>128</v>
      </c>
    </row>
    <row r="29" spans="2:5" x14ac:dyDescent="0.25">
      <c r="B29" s="4" t="s">
        <v>129</v>
      </c>
      <c r="C29" s="4" t="s">
        <v>130</v>
      </c>
      <c r="D29" s="4" t="s">
        <v>98</v>
      </c>
      <c r="E29" s="2" t="s">
        <v>131</v>
      </c>
    </row>
    <row r="30" spans="2:5" x14ac:dyDescent="0.25">
      <c r="B30" s="4" t="s">
        <v>132</v>
      </c>
      <c r="C30" s="4" t="s">
        <v>133</v>
      </c>
      <c r="D30" s="4" t="s">
        <v>98</v>
      </c>
      <c r="E30" s="2" t="s">
        <v>134</v>
      </c>
    </row>
    <row r="31" spans="2:5" x14ac:dyDescent="0.25">
      <c r="B31" s="4" t="s">
        <v>135</v>
      </c>
      <c r="C31" s="4" t="s">
        <v>136</v>
      </c>
      <c r="D31" s="4" t="s">
        <v>98</v>
      </c>
      <c r="E31" s="2" t="s">
        <v>137</v>
      </c>
    </row>
    <row r="32" spans="2:5" x14ac:dyDescent="0.25">
      <c r="B32" s="4" t="s">
        <v>138</v>
      </c>
      <c r="C32" s="4" t="s">
        <v>139</v>
      </c>
      <c r="D32" s="4" t="s">
        <v>140</v>
      </c>
      <c r="E32" s="2" t="s">
        <v>141</v>
      </c>
    </row>
    <row r="33" spans="2:5" x14ac:dyDescent="0.25">
      <c r="B33" s="4" t="s">
        <v>142</v>
      </c>
      <c r="C33" s="4" t="s">
        <v>143</v>
      </c>
      <c r="D33" s="4" t="s">
        <v>140</v>
      </c>
      <c r="E33" s="2" t="s">
        <v>144</v>
      </c>
    </row>
    <row r="34" spans="2:5" x14ac:dyDescent="0.25">
      <c r="B34" s="4" t="s">
        <v>145</v>
      </c>
      <c r="C34" s="4" t="s">
        <v>146</v>
      </c>
      <c r="D34" s="4" t="s">
        <v>147</v>
      </c>
      <c r="E34" s="2" t="s">
        <v>148</v>
      </c>
    </row>
    <row r="35" spans="2:5" x14ac:dyDescent="0.25">
      <c r="B35" s="4" t="s">
        <v>149</v>
      </c>
      <c r="C35" s="4" t="s">
        <v>150</v>
      </c>
      <c r="D35" s="4" t="s">
        <v>147</v>
      </c>
      <c r="E35" s="2" t="s">
        <v>151</v>
      </c>
    </row>
    <row r="36" spans="2:5" x14ac:dyDescent="0.25">
      <c r="B36" s="4" t="s">
        <v>152</v>
      </c>
      <c r="C36" s="4" t="s">
        <v>153</v>
      </c>
      <c r="D36" s="4" t="s">
        <v>147</v>
      </c>
      <c r="E36" s="2" t="s">
        <v>154</v>
      </c>
    </row>
    <row r="37" spans="2:5" x14ac:dyDescent="0.25">
      <c r="B37" s="4" t="s">
        <v>155</v>
      </c>
      <c r="C37" s="4" t="s">
        <v>156</v>
      </c>
      <c r="D37" s="4" t="s">
        <v>147</v>
      </c>
      <c r="E37" s="2" t="s">
        <v>157</v>
      </c>
    </row>
    <row r="38" spans="2:5" x14ac:dyDescent="0.25">
      <c r="B38" s="4" t="s">
        <v>158</v>
      </c>
      <c r="C38" s="4" t="s">
        <v>159</v>
      </c>
      <c r="D38" s="4" t="s">
        <v>147</v>
      </c>
      <c r="E38" s="2" t="s">
        <v>160</v>
      </c>
    </row>
    <row r="39" spans="2:5" x14ac:dyDescent="0.25">
      <c r="B39" s="4" t="s">
        <v>161</v>
      </c>
      <c r="C39" s="4" t="s">
        <v>162</v>
      </c>
      <c r="D39" s="4" t="s">
        <v>147</v>
      </c>
      <c r="E39" s="2" t="s">
        <v>163</v>
      </c>
    </row>
    <row r="40" spans="2:5" x14ac:dyDescent="0.25">
      <c r="B40" s="4" t="s">
        <v>164</v>
      </c>
      <c r="C40" s="4" t="s">
        <v>165</v>
      </c>
      <c r="D40" s="4" t="s">
        <v>147</v>
      </c>
      <c r="E40" s="2" t="s">
        <v>166</v>
      </c>
    </row>
    <row r="41" spans="2:5" x14ac:dyDescent="0.25">
      <c r="B41" s="4" t="s">
        <v>167</v>
      </c>
      <c r="C41" s="4" t="s">
        <v>168</v>
      </c>
      <c r="D41" s="4" t="s">
        <v>147</v>
      </c>
      <c r="E41" s="2" t="s">
        <v>169</v>
      </c>
    </row>
    <row r="42" spans="2:5" x14ac:dyDescent="0.25">
      <c r="B42" s="4" t="s">
        <v>170</v>
      </c>
      <c r="C42" s="4" t="s">
        <v>171</v>
      </c>
      <c r="D42" s="4" t="s">
        <v>147</v>
      </c>
      <c r="E42" s="2" t="s">
        <v>172</v>
      </c>
    </row>
    <row r="43" spans="2:5" x14ac:dyDescent="0.25">
      <c r="B43" s="4" t="s">
        <v>173</v>
      </c>
      <c r="C43" s="4" t="s">
        <v>174</v>
      </c>
      <c r="D43" s="4" t="s">
        <v>147</v>
      </c>
      <c r="E43" s="2" t="s">
        <v>175</v>
      </c>
    </row>
    <row r="44" spans="2:5" x14ac:dyDescent="0.25">
      <c r="B44" s="4" t="s">
        <v>176</v>
      </c>
      <c r="C44" s="4" t="s">
        <v>177</v>
      </c>
      <c r="D44" s="4" t="s">
        <v>147</v>
      </c>
      <c r="E44" s="2" t="s">
        <v>178</v>
      </c>
    </row>
    <row r="45" spans="2:5" x14ac:dyDescent="0.25">
      <c r="B45" s="4" t="s">
        <v>179</v>
      </c>
      <c r="C45" s="4" t="s">
        <v>180</v>
      </c>
      <c r="D45" s="4" t="s">
        <v>147</v>
      </c>
      <c r="E45" s="2" t="s">
        <v>181</v>
      </c>
    </row>
  </sheetData>
  <sheetProtection sheet="1"/>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zoomScaleNormal="100" workbookViewId="0"/>
  </sheetViews>
  <sheetFormatPr defaultColWidth="8.7109375" defaultRowHeight="15" x14ac:dyDescent="0.25"/>
  <cols>
    <col min="1" max="1" width="12" customWidth="1"/>
    <col min="2" max="2" width="62" customWidth="1"/>
    <col min="3" max="3" width="6" customWidth="1"/>
  </cols>
  <sheetData>
    <row r="1" spans="1:3" x14ac:dyDescent="0.25">
      <c r="A1" s="7" t="s">
        <v>55</v>
      </c>
      <c r="B1" s="7" t="s">
        <v>56</v>
      </c>
      <c r="C1" s="7" t="s">
        <v>57</v>
      </c>
    </row>
    <row r="2" spans="1:3" x14ac:dyDescent="0.25">
      <c r="A2" s="4" t="s">
        <v>59</v>
      </c>
      <c r="B2" s="4" t="s">
        <v>60</v>
      </c>
      <c r="C2" s="4" t="s">
        <v>61</v>
      </c>
    </row>
    <row r="3" spans="1:3" x14ac:dyDescent="0.25">
      <c r="A3" s="4" t="s">
        <v>63</v>
      </c>
      <c r="B3" s="4" t="s">
        <v>64</v>
      </c>
      <c r="C3" s="4" t="s">
        <v>61</v>
      </c>
    </row>
    <row r="4" spans="1:3" x14ac:dyDescent="0.25">
      <c r="A4" s="4" t="s">
        <v>66</v>
      </c>
      <c r="B4" s="4" t="s">
        <v>67</v>
      </c>
      <c r="C4" s="4" t="s">
        <v>61</v>
      </c>
    </row>
    <row r="5" spans="1:3" x14ac:dyDescent="0.25">
      <c r="A5" s="4" t="s">
        <v>69</v>
      </c>
      <c r="B5" s="4" t="s">
        <v>70</v>
      </c>
      <c r="C5" s="4" t="s">
        <v>61</v>
      </c>
    </row>
    <row r="6" spans="1:3" x14ac:dyDescent="0.25">
      <c r="A6" s="4" t="s">
        <v>72</v>
      </c>
      <c r="B6" s="4" t="s">
        <v>73</v>
      </c>
      <c r="C6" s="4" t="s">
        <v>61</v>
      </c>
    </row>
    <row r="7" spans="1:3" x14ac:dyDescent="0.25">
      <c r="A7" s="4" t="s">
        <v>75</v>
      </c>
      <c r="B7" s="4" t="s">
        <v>76</v>
      </c>
      <c r="C7" s="4" t="s">
        <v>61</v>
      </c>
    </row>
    <row r="8" spans="1:3" x14ac:dyDescent="0.25">
      <c r="A8" s="4" t="s">
        <v>78</v>
      </c>
      <c r="B8" s="4" t="s">
        <v>79</v>
      </c>
      <c r="C8" s="4" t="s">
        <v>61</v>
      </c>
    </row>
    <row r="9" spans="1:3" x14ac:dyDescent="0.25">
      <c r="A9" s="4" t="s">
        <v>81</v>
      </c>
      <c r="B9" s="4" t="s">
        <v>82</v>
      </c>
      <c r="C9" s="4" t="s">
        <v>61</v>
      </c>
    </row>
    <row r="10" spans="1:3" x14ac:dyDescent="0.25">
      <c r="A10" s="4" t="s">
        <v>84</v>
      </c>
      <c r="B10" s="4" t="s">
        <v>85</v>
      </c>
      <c r="C10" s="4" t="s">
        <v>61</v>
      </c>
    </row>
    <row r="11" spans="1:3" x14ac:dyDescent="0.25">
      <c r="A11" s="4" t="s">
        <v>87</v>
      </c>
      <c r="B11" s="4" t="s">
        <v>88</v>
      </c>
      <c r="C11" s="4" t="s">
        <v>61</v>
      </c>
    </row>
    <row r="12" spans="1:3" x14ac:dyDescent="0.25">
      <c r="A12" s="4" t="s">
        <v>90</v>
      </c>
      <c r="B12" s="4" t="s">
        <v>91</v>
      </c>
      <c r="C12" s="4" t="s">
        <v>61</v>
      </c>
    </row>
    <row r="13" spans="1:3" x14ac:dyDescent="0.25">
      <c r="A13" s="4" t="s">
        <v>93</v>
      </c>
      <c r="B13" s="4" t="s">
        <v>94</v>
      </c>
      <c r="C13" s="4" t="s">
        <v>61</v>
      </c>
    </row>
    <row r="14" spans="1:3" x14ac:dyDescent="0.25">
      <c r="A14" s="4" t="s">
        <v>96</v>
      </c>
      <c r="B14" s="4" t="s">
        <v>97</v>
      </c>
      <c r="C14" s="4" t="s">
        <v>98</v>
      </c>
    </row>
    <row r="15" spans="1:3" x14ac:dyDescent="0.25">
      <c r="A15" s="4" t="s">
        <v>100</v>
      </c>
      <c r="B15" s="4" t="s">
        <v>101</v>
      </c>
      <c r="C15" s="4" t="s">
        <v>98</v>
      </c>
    </row>
    <row r="16" spans="1:3" x14ac:dyDescent="0.25">
      <c r="A16" s="4" t="s">
        <v>103</v>
      </c>
      <c r="B16" s="4" t="s">
        <v>104</v>
      </c>
      <c r="C16" s="4" t="s">
        <v>98</v>
      </c>
    </row>
    <row r="17" spans="1:3" x14ac:dyDescent="0.25">
      <c r="A17" s="4" t="s">
        <v>106</v>
      </c>
      <c r="B17" s="4" t="s">
        <v>107</v>
      </c>
      <c r="C17" s="4" t="s">
        <v>98</v>
      </c>
    </row>
    <row r="18" spans="1:3" x14ac:dyDescent="0.25">
      <c r="A18" s="4" t="s">
        <v>109</v>
      </c>
      <c r="B18" s="4" t="s">
        <v>110</v>
      </c>
      <c r="C18" s="4" t="s">
        <v>98</v>
      </c>
    </row>
    <row r="19" spans="1:3" x14ac:dyDescent="0.25">
      <c r="A19" s="4" t="s">
        <v>112</v>
      </c>
      <c r="B19" s="4" t="s">
        <v>113</v>
      </c>
      <c r="C19" s="4" t="s">
        <v>98</v>
      </c>
    </row>
    <row r="20" spans="1:3" x14ac:dyDescent="0.25">
      <c r="A20" s="4" t="s">
        <v>115</v>
      </c>
      <c r="B20" s="4" t="s">
        <v>116</v>
      </c>
      <c r="C20" s="4" t="s">
        <v>98</v>
      </c>
    </row>
    <row r="21" spans="1:3" x14ac:dyDescent="0.25">
      <c r="A21" s="4" t="s">
        <v>118</v>
      </c>
      <c r="B21" s="4" t="s">
        <v>119</v>
      </c>
      <c r="C21" s="4" t="s">
        <v>98</v>
      </c>
    </row>
    <row r="22" spans="1:3" x14ac:dyDescent="0.25">
      <c r="A22" s="4" t="s">
        <v>120</v>
      </c>
      <c r="B22" s="4" t="s">
        <v>121</v>
      </c>
      <c r="C22" s="4" t="s">
        <v>98</v>
      </c>
    </row>
    <row r="23" spans="1:3" x14ac:dyDescent="0.25">
      <c r="A23" s="4" t="s">
        <v>123</v>
      </c>
      <c r="B23" s="4" t="s">
        <v>124</v>
      </c>
      <c r="C23" s="4" t="s">
        <v>98</v>
      </c>
    </row>
    <row r="24" spans="1:3" x14ac:dyDescent="0.25">
      <c r="A24" s="4" t="s">
        <v>126</v>
      </c>
      <c r="B24" s="4" t="s">
        <v>127</v>
      </c>
      <c r="C24" s="4" t="s">
        <v>98</v>
      </c>
    </row>
    <row r="25" spans="1:3" x14ac:dyDescent="0.25">
      <c r="A25" s="4" t="s">
        <v>129</v>
      </c>
      <c r="B25" s="4" t="s">
        <v>130</v>
      </c>
      <c r="C25" s="4" t="s">
        <v>98</v>
      </c>
    </row>
    <row r="26" spans="1:3" x14ac:dyDescent="0.25">
      <c r="A26" s="4" t="s">
        <v>132</v>
      </c>
      <c r="B26" s="4" t="s">
        <v>133</v>
      </c>
      <c r="C26" s="4" t="s">
        <v>98</v>
      </c>
    </row>
    <row r="27" spans="1:3" x14ac:dyDescent="0.25">
      <c r="A27" s="4" t="s">
        <v>135</v>
      </c>
      <c r="B27" s="4" t="s">
        <v>136</v>
      </c>
      <c r="C27" s="4" t="s">
        <v>98</v>
      </c>
    </row>
    <row r="28" spans="1:3" x14ac:dyDescent="0.25">
      <c r="A28" s="4" t="s">
        <v>138</v>
      </c>
      <c r="B28" s="4" t="s">
        <v>139</v>
      </c>
      <c r="C28" s="4" t="s">
        <v>140</v>
      </c>
    </row>
    <row r="29" spans="1:3" x14ac:dyDescent="0.25">
      <c r="A29" s="4" t="s">
        <v>142</v>
      </c>
      <c r="B29" s="4" t="s">
        <v>143</v>
      </c>
      <c r="C29" s="4" t="s">
        <v>140</v>
      </c>
    </row>
    <row r="30" spans="1:3" x14ac:dyDescent="0.25">
      <c r="A30" s="4" t="s">
        <v>145</v>
      </c>
      <c r="B30" s="4" t="s">
        <v>146</v>
      </c>
      <c r="C30" s="4" t="s">
        <v>147</v>
      </c>
    </row>
    <row r="31" spans="1:3" x14ac:dyDescent="0.25">
      <c r="A31" s="4" t="s">
        <v>149</v>
      </c>
      <c r="B31" s="4" t="s">
        <v>150</v>
      </c>
      <c r="C31" s="4" t="s">
        <v>147</v>
      </c>
    </row>
    <row r="32" spans="1:3" x14ac:dyDescent="0.25">
      <c r="A32" s="4" t="s">
        <v>152</v>
      </c>
      <c r="B32" s="4" t="s">
        <v>153</v>
      </c>
      <c r="C32" s="4" t="s">
        <v>147</v>
      </c>
    </row>
    <row r="33" spans="1:3" x14ac:dyDescent="0.25">
      <c r="A33" s="4" t="s">
        <v>155</v>
      </c>
      <c r="B33" s="4" t="s">
        <v>156</v>
      </c>
      <c r="C33" s="4" t="s">
        <v>147</v>
      </c>
    </row>
    <row r="34" spans="1:3" x14ac:dyDescent="0.25">
      <c r="A34" s="4" t="s">
        <v>158</v>
      </c>
      <c r="B34" s="4" t="s">
        <v>159</v>
      </c>
      <c r="C34" s="4" t="s">
        <v>147</v>
      </c>
    </row>
    <row r="35" spans="1:3" x14ac:dyDescent="0.25">
      <c r="A35" s="4" t="s">
        <v>161</v>
      </c>
      <c r="B35" s="4" t="s">
        <v>162</v>
      </c>
      <c r="C35" s="4" t="s">
        <v>147</v>
      </c>
    </row>
    <row r="36" spans="1:3" x14ac:dyDescent="0.25">
      <c r="A36" s="4" t="s">
        <v>164</v>
      </c>
      <c r="B36" s="4" t="s">
        <v>165</v>
      </c>
      <c r="C36" s="4" t="s">
        <v>147</v>
      </c>
    </row>
    <row r="37" spans="1:3" x14ac:dyDescent="0.25">
      <c r="A37" s="4" t="s">
        <v>167</v>
      </c>
      <c r="B37" s="4" t="s">
        <v>168</v>
      </c>
      <c r="C37" s="4" t="s">
        <v>147</v>
      </c>
    </row>
    <row r="38" spans="1:3" x14ac:dyDescent="0.25">
      <c r="A38" s="4" t="s">
        <v>170</v>
      </c>
      <c r="B38" s="4" t="s">
        <v>171</v>
      </c>
      <c r="C38" s="4" t="s">
        <v>147</v>
      </c>
    </row>
    <row r="39" spans="1:3" x14ac:dyDescent="0.25">
      <c r="A39" s="4" t="s">
        <v>173</v>
      </c>
      <c r="B39" s="4" t="s">
        <v>174</v>
      </c>
      <c r="C39" s="4" t="s">
        <v>147</v>
      </c>
    </row>
    <row r="40" spans="1:3" x14ac:dyDescent="0.25">
      <c r="A40" s="4" t="s">
        <v>176</v>
      </c>
      <c r="B40" s="4" t="s">
        <v>177</v>
      </c>
      <c r="C40" s="4" t="s">
        <v>147</v>
      </c>
    </row>
    <row r="41" spans="1:3" x14ac:dyDescent="0.25">
      <c r="A41" s="4" t="s">
        <v>179</v>
      </c>
      <c r="B41" s="4" t="s">
        <v>180</v>
      </c>
      <c r="C41" s="4" t="s">
        <v>147</v>
      </c>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H228"/>
  <sheetViews>
    <sheetView showGridLines="0" zoomScaleNormal="100" workbookViewId="0">
      <pane ySplit="5" topLeftCell="A6" activePane="bottomLeft" state="frozen"/>
      <selection pane="bottomLeft"/>
    </sheetView>
  </sheetViews>
  <sheetFormatPr defaultColWidth="8.7109375" defaultRowHeight="15" x14ac:dyDescent="0.25"/>
  <cols>
    <col min="1" max="1" width="42" customWidth="1"/>
    <col min="2" max="5" width="14" customWidth="1"/>
    <col min="6" max="6" width="10" customWidth="1"/>
    <col min="7" max="7" width="44" customWidth="1"/>
    <col min="8" max="8" width="12" customWidth="1"/>
  </cols>
  <sheetData>
    <row r="2" spans="1:8" ht="18" x14ac:dyDescent="0.25">
      <c r="A2" s="1" t="s">
        <v>182</v>
      </c>
    </row>
    <row r="3" spans="1:8" x14ac:dyDescent="0.25">
      <c r="A3" s="2" t="s">
        <v>183</v>
      </c>
    </row>
    <row r="4" spans="1:8" x14ac:dyDescent="0.25">
      <c r="A4" s="2" t="s">
        <v>184</v>
      </c>
    </row>
    <row r="5" spans="1:8" x14ac:dyDescent="0.25">
      <c r="A5" s="9" t="s">
        <v>185</v>
      </c>
      <c r="B5" s="9" t="s">
        <v>186</v>
      </c>
      <c r="C5" s="9" t="s">
        <v>187</v>
      </c>
      <c r="D5" s="9" t="s">
        <v>188</v>
      </c>
      <c r="E5" s="9" t="s">
        <v>189</v>
      </c>
      <c r="F5" s="9" t="s">
        <v>190</v>
      </c>
      <c r="G5" s="9" t="s">
        <v>191</v>
      </c>
      <c r="H5" s="9" t="s">
        <v>192</v>
      </c>
    </row>
    <row r="6" spans="1:8" x14ac:dyDescent="0.25">
      <c r="A6" s="10" t="s">
        <v>193</v>
      </c>
      <c r="B6" s="11"/>
      <c r="C6" s="11">
        <v>0</v>
      </c>
      <c r="D6" s="11"/>
      <c r="E6" s="11"/>
      <c r="F6" s="10" t="s">
        <v>138</v>
      </c>
      <c r="G6" s="2" t="str">
        <f>IF(F6="","",IFERROR(INDEX(Map!$B$2:$B$41,MATCH(F6,Map!$A$2:$A$41,0)),"UNKNOWN CODE"))</f>
        <v>Revenue from operations</v>
      </c>
      <c r="H6" s="2" t="str">
        <f>IF(F6="","",F6&amp;"#"&amp;COUNTIF($F$6:F6,F6))</f>
        <v>REV#1</v>
      </c>
    </row>
    <row r="7" spans="1:8" x14ac:dyDescent="0.25">
      <c r="A7" s="10"/>
      <c r="B7" s="11"/>
      <c r="C7" s="11"/>
      <c r="D7" s="11"/>
      <c r="E7" s="11"/>
      <c r="F7" s="10"/>
      <c r="G7" s="2" t="str">
        <f>IF(F7="","",IFERROR(INDEX(Map!$B$2:$B$41,MATCH(F7,Map!$A$2:$A$41,0)),"UNKNOWN CODE"))</f>
        <v/>
      </c>
      <c r="H7" s="2" t="str">
        <f>IF(F7="","",F7&amp;"#"&amp;COUNTIF($F$6:F7,F7))</f>
        <v/>
      </c>
    </row>
    <row r="8" spans="1:8" x14ac:dyDescent="0.25">
      <c r="A8" s="10"/>
      <c r="B8" s="11"/>
      <c r="C8" s="11"/>
      <c r="D8" s="11"/>
      <c r="E8" s="11"/>
      <c r="F8" s="10"/>
      <c r="G8" s="2" t="str">
        <f>IF(F8="","",IFERROR(INDEX(Map!$B$2:$B$41,MATCH(F8,Map!$A$2:$A$41,0)),"UNKNOWN CODE"))</f>
        <v/>
      </c>
      <c r="H8" s="2" t="str">
        <f>IF(F8="","",F8&amp;"#"&amp;COUNTIF($F$6:F8,F8))</f>
        <v/>
      </c>
    </row>
    <row r="9" spans="1:8" x14ac:dyDescent="0.25">
      <c r="A9" s="10"/>
      <c r="B9" s="11"/>
      <c r="C9" s="11"/>
      <c r="D9" s="11"/>
      <c r="E9" s="11"/>
      <c r="F9" s="10"/>
      <c r="G9" s="2" t="str">
        <f>IF(F9="","",IFERROR(INDEX(Map!$B$2:$B$41,MATCH(F9,Map!$A$2:$A$41,0)),"UNKNOWN CODE"))</f>
        <v/>
      </c>
      <c r="H9" s="2" t="str">
        <f>IF(F9="","",F9&amp;"#"&amp;COUNTIF($F$6:F9,F9))</f>
        <v/>
      </c>
    </row>
    <row r="10" spans="1:8" x14ac:dyDescent="0.25">
      <c r="A10" s="10"/>
      <c r="B10" s="11"/>
      <c r="C10" s="11"/>
      <c r="D10" s="11"/>
      <c r="E10" s="11"/>
      <c r="F10" s="10"/>
      <c r="G10" s="2" t="str">
        <f>IF(F10="","",IFERROR(INDEX(Map!$B$2:$B$41,MATCH(F10,Map!$A$2:$A$41,0)),"UNKNOWN CODE"))</f>
        <v/>
      </c>
      <c r="H10" s="2" t="str">
        <f>IF(F10="","",F10&amp;"#"&amp;COUNTIF($F$6:F10,F10))</f>
        <v/>
      </c>
    </row>
    <row r="11" spans="1:8" x14ac:dyDescent="0.25">
      <c r="A11" s="10"/>
      <c r="B11" s="11"/>
      <c r="C11" s="11"/>
      <c r="D11" s="11"/>
      <c r="E11" s="11"/>
      <c r="F11" s="10"/>
      <c r="G11" s="2" t="str">
        <f>IF(F11="","",IFERROR(INDEX(Map!$B$2:$B$41,MATCH(F11,Map!$A$2:$A$41,0)),"UNKNOWN CODE"))</f>
        <v/>
      </c>
      <c r="H11" s="2" t="str">
        <f>IF(F11="","",F11&amp;"#"&amp;COUNTIF($F$6:F11,F11))</f>
        <v/>
      </c>
    </row>
    <row r="12" spans="1:8" x14ac:dyDescent="0.25">
      <c r="A12" s="10"/>
      <c r="B12" s="11"/>
      <c r="C12" s="11"/>
      <c r="D12" s="11"/>
      <c r="E12" s="11"/>
      <c r="F12" s="10"/>
      <c r="G12" s="2" t="str">
        <f>IF(F12="","",IFERROR(INDEX(Map!$B$2:$B$41,MATCH(F12,Map!$A$2:$A$41,0)),"UNKNOWN CODE"))</f>
        <v/>
      </c>
      <c r="H12" s="2" t="str">
        <f>IF(F12="","",F12&amp;"#"&amp;COUNTIF($F$6:F12,F12))</f>
        <v/>
      </c>
    </row>
    <row r="13" spans="1:8" x14ac:dyDescent="0.25">
      <c r="A13" s="10"/>
      <c r="B13" s="11"/>
      <c r="C13" s="11"/>
      <c r="D13" s="11"/>
      <c r="E13" s="11"/>
      <c r="F13" s="10"/>
      <c r="G13" s="2" t="str">
        <f>IF(F13="","",IFERROR(INDEX(Map!$B$2:$B$41,MATCH(F13,Map!$A$2:$A$41,0)),"UNKNOWN CODE"))</f>
        <v/>
      </c>
      <c r="H13" s="2" t="str">
        <f>IF(F13="","",F13&amp;"#"&amp;COUNTIF($F$6:F13,F13))</f>
        <v/>
      </c>
    </row>
    <row r="14" spans="1:8" x14ac:dyDescent="0.25">
      <c r="A14" s="10"/>
      <c r="B14" s="11"/>
      <c r="C14" s="11"/>
      <c r="D14" s="11"/>
      <c r="E14" s="11"/>
      <c r="F14" s="10"/>
      <c r="G14" s="2" t="str">
        <f>IF(F14="","",IFERROR(INDEX(Map!$B$2:$B$41,MATCH(F14,Map!$A$2:$A$41,0)),"UNKNOWN CODE"))</f>
        <v/>
      </c>
      <c r="H14" s="2" t="str">
        <f>IF(F14="","",F14&amp;"#"&amp;COUNTIF($F$6:F14,F14))</f>
        <v/>
      </c>
    </row>
    <row r="15" spans="1:8" x14ac:dyDescent="0.25">
      <c r="A15" s="10"/>
      <c r="B15" s="11"/>
      <c r="C15" s="11"/>
      <c r="D15" s="11"/>
      <c r="E15" s="11"/>
      <c r="F15" s="10"/>
      <c r="G15" s="2" t="str">
        <f>IF(F15="","",IFERROR(INDEX(Map!$B$2:$B$41,MATCH(F15,Map!$A$2:$A$41,0)),"UNKNOWN CODE"))</f>
        <v/>
      </c>
      <c r="H15" s="2" t="str">
        <f>IF(F15="","",F15&amp;"#"&amp;COUNTIF($F$6:F15,F15))</f>
        <v/>
      </c>
    </row>
    <row r="16" spans="1:8" x14ac:dyDescent="0.25">
      <c r="A16" s="10"/>
      <c r="B16" s="11"/>
      <c r="C16" s="11"/>
      <c r="D16" s="11"/>
      <c r="E16" s="11"/>
      <c r="F16" s="10"/>
      <c r="G16" s="2" t="str">
        <f>IF(F16="","",IFERROR(INDEX(Map!$B$2:$B$41,MATCH(F16,Map!$A$2:$A$41,0)),"UNKNOWN CODE"))</f>
        <v/>
      </c>
      <c r="H16" s="2" t="str">
        <f>IF(F16="","",F16&amp;"#"&amp;COUNTIF($F$6:F16,F16))</f>
        <v/>
      </c>
    </row>
    <row r="17" spans="1:8" x14ac:dyDescent="0.25">
      <c r="A17" s="10"/>
      <c r="B17" s="11"/>
      <c r="C17" s="11"/>
      <c r="D17" s="11"/>
      <c r="E17" s="11"/>
      <c r="F17" s="10"/>
      <c r="G17" s="2" t="str">
        <f>IF(F17="","",IFERROR(INDEX(Map!$B$2:$B$41,MATCH(F17,Map!$A$2:$A$41,0)),"UNKNOWN CODE"))</f>
        <v/>
      </c>
      <c r="H17" s="2" t="str">
        <f>IF(F17="","",F17&amp;"#"&amp;COUNTIF($F$6:F17,F17))</f>
        <v/>
      </c>
    </row>
    <row r="18" spans="1:8" x14ac:dyDescent="0.25">
      <c r="A18" s="10"/>
      <c r="B18" s="11"/>
      <c r="C18" s="11"/>
      <c r="D18" s="11"/>
      <c r="E18" s="11"/>
      <c r="F18" s="10"/>
      <c r="G18" s="2" t="str">
        <f>IF(F18="","",IFERROR(INDEX(Map!$B$2:$B$41,MATCH(F18,Map!$A$2:$A$41,0)),"UNKNOWN CODE"))</f>
        <v/>
      </c>
      <c r="H18" s="2" t="str">
        <f>IF(F18="","",F18&amp;"#"&amp;COUNTIF($F$6:F18,F18))</f>
        <v/>
      </c>
    </row>
    <row r="19" spans="1:8" x14ac:dyDescent="0.25">
      <c r="A19" s="10"/>
      <c r="B19" s="11"/>
      <c r="C19" s="11"/>
      <c r="D19" s="11"/>
      <c r="E19" s="11"/>
      <c r="F19" s="10"/>
      <c r="G19" s="2" t="str">
        <f>IF(F19="","",IFERROR(INDEX(Map!$B$2:$B$41,MATCH(F19,Map!$A$2:$A$41,0)),"UNKNOWN CODE"))</f>
        <v/>
      </c>
      <c r="H19" s="2" t="str">
        <f>IF(F19="","",F19&amp;"#"&amp;COUNTIF($F$6:F19,F19))</f>
        <v/>
      </c>
    </row>
    <row r="20" spans="1:8" x14ac:dyDescent="0.25">
      <c r="A20" s="10"/>
      <c r="B20" s="11"/>
      <c r="C20" s="11"/>
      <c r="D20" s="11"/>
      <c r="E20" s="11"/>
      <c r="F20" s="10"/>
      <c r="G20" s="2" t="str">
        <f>IF(F20="","",IFERROR(INDEX(Map!$B$2:$B$41,MATCH(F20,Map!$A$2:$A$41,0)),"UNKNOWN CODE"))</f>
        <v/>
      </c>
      <c r="H20" s="2" t="str">
        <f>IF(F20="","",F20&amp;"#"&amp;COUNTIF($F$6:F20,F20))</f>
        <v/>
      </c>
    </row>
    <row r="21" spans="1:8" x14ac:dyDescent="0.25">
      <c r="A21" s="10"/>
      <c r="B21" s="11"/>
      <c r="C21" s="11"/>
      <c r="D21" s="11"/>
      <c r="E21" s="11"/>
      <c r="F21" s="10"/>
      <c r="G21" s="2" t="str">
        <f>IF(F21="","",IFERROR(INDEX(Map!$B$2:$B$41,MATCH(F21,Map!$A$2:$A$41,0)),"UNKNOWN CODE"))</f>
        <v/>
      </c>
      <c r="H21" s="2" t="str">
        <f>IF(F21="","",F21&amp;"#"&amp;COUNTIF($F$6:F21,F21))</f>
        <v/>
      </c>
    </row>
    <row r="22" spans="1:8" x14ac:dyDescent="0.25">
      <c r="A22" s="10"/>
      <c r="B22" s="11"/>
      <c r="C22" s="11"/>
      <c r="D22" s="11"/>
      <c r="E22" s="11"/>
      <c r="F22" s="10"/>
      <c r="G22" s="2" t="str">
        <f>IF(F22="","",IFERROR(INDEX(Map!$B$2:$B$41,MATCH(F22,Map!$A$2:$A$41,0)),"UNKNOWN CODE"))</f>
        <v/>
      </c>
      <c r="H22" s="2" t="str">
        <f>IF(F22="","",F22&amp;"#"&amp;COUNTIF($F$6:F22,F22))</f>
        <v/>
      </c>
    </row>
    <row r="23" spans="1:8" x14ac:dyDescent="0.25">
      <c r="A23" s="10"/>
      <c r="B23" s="11"/>
      <c r="C23" s="11"/>
      <c r="D23" s="11"/>
      <c r="E23" s="11"/>
      <c r="F23" s="10"/>
      <c r="G23" s="2" t="str">
        <f>IF(F23="","",IFERROR(INDEX(Map!$B$2:$B$41,MATCH(F23,Map!$A$2:$A$41,0)),"UNKNOWN CODE"))</f>
        <v/>
      </c>
      <c r="H23" s="2" t="str">
        <f>IF(F23="","",F23&amp;"#"&amp;COUNTIF($F$6:F23,F23))</f>
        <v/>
      </c>
    </row>
    <row r="24" spans="1:8" x14ac:dyDescent="0.25">
      <c r="A24" s="10"/>
      <c r="B24" s="11"/>
      <c r="C24" s="11"/>
      <c r="D24" s="11"/>
      <c r="E24" s="11"/>
      <c r="F24" s="10"/>
      <c r="G24" s="2" t="str">
        <f>IF(F24="","",IFERROR(INDEX(Map!$B$2:$B$41,MATCH(F24,Map!$A$2:$A$41,0)),"UNKNOWN CODE"))</f>
        <v/>
      </c>
      <c r="H24" s="2" t="str">
        <f>IF(F24="","",F24&amp;"#"&amp;COUNTIF($F$6:F24,F24))</f>
        <v/>
      </c>
    </row>
    <row r="25" spans="1:8" x14ac:dyDescent="0.25">
      <c r="A25" s="10"/>
      <c r="B25" s="11"/>
      <c r="C25" s="11"/>
      <c r="D25" s="11"/>
      <c r="E25" s="11"/>
      <c r="F25" s="10"/>
      <c r="G25" s="2" t="str">
        <f>IF(F25="","",IFERROR(INDEX(Map!$B$2:$B$41,MATCH(F25,Map!$A$2:$A$41,0)),"UNKNOWN CODE"))</f>
        <v/>
      </c>
      <c r="H25" s="2" t="str">
        <f>IF(F25="","",F25&amp;"#"&amp;COUNTIF($F$6:F25,F25))</f>
        <v/>
      </c>
    </row>
    <row r="26" spans="1:8" x14ac:dyDescent="0.25">
      <c r="A26" s="10"/>
      <c r="B26" s="11"/>
      <c r="C26" s="11"/>
      <c r="D26" s="11"/>
      <c r="E26" s="11"/>
      <c r="F26" s="10"/>
      <c r="G26" s="2" t="str">
        <f>IF(F26="","",IFERROR(INDEX(Map!$B$2:$B$41,MATCH(F26,Map!$A$2:$A$41,0)),"UNKNOWN CODE"))</f>
        <v/>
      </c>
      <c r="H26" s="2" t="str">
        <f>IF(F26="","",F26&amp;"#"&amp;COUNTIF($F$6:F26,F26))</f>
        <v/>
      </c>
    </row>
    <row r="27" spans="1:8" x14ac:dyDescent="0.25">
      <c r="A27" s="10"/>
      <c r="B27" s="11"/>
      <c r="C27" s="11"/>
      <c r="D27" s="11"/>
      <c r="E27" s="11"/>
      <c r="F27" s="10"/>
      <c r="G27" s="2" t="str">
        <f>IF(F27="","",IFERROR(INDEX(Map!$B$2:$B$41,MATCH(F27,Map!$A$2:$A$41,0)),"UNKNOWN CODE"))</f>
        <v/>
      </c>
      <c r="H27" s="2" t="str">
        <f>IF(F27="","",F27&amp;"#"&amp;COUNTIF($F$6:F27,F27))</f>
        <v/>
      </c>
    </row>
    <row r="28" spans="1:8" x14ac:dyDescent="0.25">
      <c r="A28" s="10"/>
      <c r="B28" s="11"/>
      <c r="C28" s="11"/>
      <c r="D28" s="11"/>
      <c r="E28" s="11"/>
      <c r="F28" s="10"/>
      <c r="G28" s="2" t="str">
        <f>IF(F28="","",IFERROR(INDEX(Map!$B$2:$B$41,MATCH(F28,Map!$A$2:$A$41,0)),"UNKNOWN CODE"))</f>
        <v/>
      </c>
      <c r="H28" s="2" t="str">
        <f>IF(F28="","",F28&amp;"#"&amp;COUNTIF($F$6:F28,F28))</f>
        <v/>
      </c>
    </row>
    <row r="29" spans="1:8" x14ac:dyDescent="0.25">
      <c r="A29" s="10"/>
      <c r="B29" s="11"/>
      <c r="C29" s="11"/>
      <c r="D29" s="11"/>
      <c r="E29" s="11"/>
      <c r="F29" s="10"/>
      <c r="G29" s="2" t="str">
        <f>IF(F29="","",IFERROR(INDEX(Map!$B$2:$B$41,MATCH(F29,Map!$A$2:$A$41,0)),"UNKNOWN CODE"))</f>
        <v/>
      </c>
      <c r="H29" s="2" t="str">
        <f>IF(F29="","",F29&amp;"#"&amp;COUNTIF($F$6:F29,F29))</f>
        <v/>
      </c>
    </row>
    <row r="30" spans="1:8" x14ac:dyDescent="0.25">
      <c r="A30" s="10"/>
      <c r="B30" s="11"/>
      <c r="C30" s="11"/>
      <c r="D30" s="11"/>
      <c r="E30" s="11"/>
      <c r="F30" s="10"/>
      <c r="G30" s="2" t="str">
        <f>IF(F30="","",IFERROR(INDEX(Map!$B$2:$B$41,MATCH(F30,Map!$A$2:$A$41,0)),"UNKNOWN CODE"))</f>
        <v/>
      </c>
      <c r="H30" s="2" t="str">
        <f>IF(F30="","",F30&amp;"#"&amp;COUNTIF($F$6:F30,F30))</f>
        <v/>
      </c>
    </row>
    <row r="31" spans="1:8" x14ac:dyDescent="0.25">
      <c r="A31" s="10"/>
      <c r="B31" s="11"/>
      <c r="C31" s="11"/>
      <c r="D31" s="11"/>
      <c r="E31" s="11"/>
      <c r="F31" s="10"/>
      <c r="G31" s="2" t="str">
        <f>IF(F31="","",IFERROR(INDEX(Map!$B$2:$B$41,MATCH(F31,Map!$A$2:$A$41,0)),"UNKNOWN CODE"))</f>
        <v/>
      </c>
      <c r="H31" s="2" t="str">
        <f>IF(F31="","",F31&amp;"#"&amp;COUNTIF($F$6:F31,F31))</f>
        <v/>
      </c>
    </row>
    <row r="32" spans="1:8" x14ac:dyDescent="0.25">
      <c r="A32" s="10"/>
      <c r="B32" s="11"/>
      <c r="C32" s="11"/>
      <c r="D32" s="11"/>
      <c r="E32" s="11"/>
      <c r="F32" s="10"/>
      <c r="G32" s="2" t="str">
        <f>IF(F32="","",IFERROR(INDEX(Map!$B$2:$B$41,MATCH(F32,Map!$A$2:$A$41,0)),"UNKNOWN CODE"))</f>
        <v/>
      </c>
      <c r="H32" s="2" t="str">
        <f>IF(F32="","",F32&amp;"#"&amp;COUNTIF($F$6:F32,F32))</f>
        <v/>
      </c>
    </row>
    <row r="33" spans="1:8" x14ac:dyDescent="0.25">
      <c r="A33" s="10"/>
      <c r="B33" s="11"/>
      <c r="C33" s="11"/>
      <c r="D33" s="11"/>
      <c r="E33" s="11"/>
      <c r="F33" s="10"/>
      <c r="G33" s="2" t="str">
        <f>IF(F33="","",IFERROR(INDEX(Map!$B$2:$B$41,MATCH(F33,Map!$A$2:$A$41,0)),"UNKNOWN CODE"))</f>
        <v/>
      </c>
      <c r="H33" s="2" t="str">
        <f>IF(F33="","",F33&amp;"#"&amp;COUNTIF($F$6:F33,F33))</f>
        <v/>
      </c>
    </row>
    <row r="34" spans="1:8" x14ac:dyDescent="0.25">
      <c r="A34" s="10"/>
      <c r="B34" s="11"/>
      <c r="C34" s="11"/>
      <c r="D34" s="11"/>
      <c r="E34" s="11"/>
      <c r="F34" s="10"/>
      <c r="G34" s="2" t="str">
        <f>IF(F34="","",IFERROR(INDEX(Map!$B$2:$B$41,MATCH(F34,Map!$A$2:$A$41,0)),"UNKNOWN CODE"))</f>
        <v/>
      </c>
      <c r="H34" s="2" t="str">
        <f>IF(F34="","",F34&amp;"#"&amp;COUNTIF($F$6:F34,F34))</f>
        <v/>
      </c>
    </row>
    <row r="35" spans="1:8" x14ac:dyDescent="0.25">
      <c r="A35" s="10"/>
      <c r="B35" s="11"/>
      <c r="C35" s="11"/>
      <c r="D35" s="11"/>
      <c r="E35" s="11"/>
      <c r="F35" s="10"/>
      <c r="G35" s="2" t="str">
        <f>IF(F35="","",IFERROR(INDEX(Map!$B$2:$B$41,MATCH(F35,Map!$A$2:$A$41,0)),"UNKNOWN CODE"))</f>
        <v/>
      </c>
      <c r="H35" s="2" t="str">
        <f>IF(F35="","",F35&amp;"#"&amp;COUNTIF($F$6:F35,F35))</f>
        <v/>
      </c>
    </row>
    <row r="36" spans="1:8" x14ac:dyDescent="0.25">
      <c r="A36" s="10"/>
      <c r="B36" s="11"/>
      <c r="C36" s="11"/>
      <c r="D36" s="11"/>
      <c r="E36" s="11"/>
      <c r="F36" s="10"/>
      <c r="G36" s="2" t="str">
        <f>IF(F36="","",IFERROR(INDEX(Map!$B$2:$B$41,MATCH(F36,Map!$A$2:$A$41,0)),"UNKNOWN CODE"))</f>
        <v/>
      </c>
      <c r="H36" s="2" t="str">
        <f>IF(F36="","",F36&amp;"#"&amp;COUNTIF($F$6:F36,F36))</f>
        <v/>
      </c>
    </row>
    <row r="37" spans="1:8" x14ac:dyDescent="0.25">
      <c r="A37" s="10"/>
      <c r="B37" s="11"/>
      <c r="C37" s="11"/>
      <c r="D37" s="11"/>
      <c r="E37" s="11"/>
      <c r="F37" s="10"/>
      <c r="G37" s="2" t="str">
        <f>IF(F37="","",IFERROR(INDEX(Map!$B$2:$B$41,MATCH(F37,Map!$A$2:$A$41,0)),"UNKNOWN CODE"))</f>
        <v/>
      </c>
      <c r="H37" s="2" t="str">
        <f>IF(F37="","",F37&amp;"#"&amp;COUNTIF($F$6:F37,F37))</f>
        <v/>
      </c>
    </row>
    <row r="38" spans="1:8" x14ac:dyDescent="0.25">
      <c r="A38" s="10"/>
      <c r="B38" s="11"/>
      <c r="C38" s="11"/>
      <c r="D38" s="11"/>
      <c r="E38" s="11"/>
      <c r="F38" s="10"/>
      <c r="G38" s="2" t="str">
        <f>IF(F38="","",IFERROR(INDEX(Map!$B$2:$B$41,MATCH(F38,Map!$A$2:$A$41,0)),"UNKNOWN CODE"))</f>
        <v/>
      </c>
      <c r="H38" s="2" t="str">
        <f>IF(F38="","",F38&amp;"#"&amp;COUNTIF($F$6:F38,F38))</f>
        <v/>
      </c>
    </row>
    <row r="39" spans="1:8" x14ac:dyDescent="0.25">
      <c r="A39" s="10"/>
      <c r="B39" s="11"/>
      <c r="C39" s="11"/>
      <c r="D39" s="11"/>
      <c r="E39" s="11"/>
      <c r="F39" s="10"/>
      <c r="G39" s="2" t="str">
        <f>IF(F39="","",IFERROR(INDEX(Map!$B$2:$B$41,MATCH(F39,Map!$A$2:$A$41,0)),"UNKNOWN CODE"))</f>
        <v/>
      </c>
      <c r="H39" s="2" t="str">
        <f>IF(F39="","",F39&amp;"#"&amp;COUNTIF($F$6:F39,F39))</f>
        <v/>
      </c>
    </row>
    <row r="40" spans="1:8" x14ac:dyDescent="0.25">
      <c r="A40" s="10"/>
      <c r="B40" s="11"/>
      <c r="C40" s="11"/>
      <c r="D40" s="11"/>
      <c r="E40" s="11"/>
      <c r="F40" s="10"/>
      <c r="G40" s="2" t="str">
        <f>IF(F40="","",IFERROR(INDEX(Map!$B$2:$B$41,MATCH(F40,Map!$A$2:$A$41,0)),"UNKNOWN CODE"))</f>
        <v/>
      </c>
      <c r="H40" s="2" t="str">
        <f>IF(F40="","",F40&amp;"#"&amp;COUNTIF($F$6:F40,F40))</f>
        <v/>
      </c>
    </row>
    <row r="41" spans="1:8" x14ac:dyDescent="0.25">
      <c r="A41" s="10"/>
      <c r="B41" s="11"/>
      <c r="C41" s="11"/>
      <c r="D41" s="11"/>
      <c r="E41" s="11"/>
      <c r="F41" s="10"/>
      <c r="G41" s="2" t="str">
        <f>IF(F41="","",IFERROR(INDEX(Map!$B$2:$B$41,MATCH(F41,Map!$A$2:$A$41,0)),"UNKNOWN CODE"))</f>
        <v/>
      </c>
      <c r="H41" s="2" t="str">
        <f>IF(F41="","",F41&amp;"#"&amp;COUNTIF($F$6:F41,F41))</f>
        <v/>
      </c>
    </row>
    <row r="42" spans="1:8" x14ac:dyDescent="0.25">
      <c r="A42" s="10"/>
      <c r="B42" s="11"/>
      <c r="C42" s="11"/>
      <c r="D42" s="11"/>
      <c r="E42" s="11"/>
      <c r="F42" s="10"/>
      <c r="G42" s="2" t="str">
        <f>IF(F42="","",IFERROR(INDEX(Map!$B$2:$B$41,MATCH(F42,Map!$A$2:$A$41,0)),"UNKNOWN CODE"))</f>
        <v/>
      </c>
      <c r="H42" s="2" t="str">
        <f>IF(F42="","",F42&amp;"#"&amp;COUNTIF($F$6:F42,F42))</f>
        <v/>
      </c>
    </row>
    <row r="43" spans="1:8" x14ac:dyDescent="0.25">
      <c r="A43" s="10"/>
      <c r="B43" s="11"/>
      <c r="C43" s="11"/>
      <c r="D43" s="11"/>
      <c r="E43" s="11"/>
      <c r="F43" s="10"/>
      <c r="G43" s="2" t="str">
        <f>IF(F43="","",IFERROR(INDEX(Map!$B$2:$B$41,MATCH(F43,Map!$A$2:$A$41,0)),"UNKNOWN CODE"))</f>
        <v/>
      </c>
      <c r="H43" s="2" t="str">
        <f>IF(F43="","",F43&amp;"#"&amp;COUNTIF($F$6:F43,F43))</f>
        <v/>
      </c>
    </row>
    <row r="44" spans="1:8" x14ac:dyDescent="0.25">
      <c r="A44" s="10"/>
      <c r="B44" s="11"/>
      <c r="C44" s="11"/>
      <c r="D44" s="11"/>
      <c r="E44" s="11"/>
      <c r="F44" s="10"/>
      <c r="G44" s="2" t="str">
        <f>IF(F44="","",IFERROR(INDEX(Map!$B$2:$B$41,MATCH(F44,Map!$A$2:$A$41,0)),"UNKNOWN CODE"))</f>
        <v/>
      </c>
      <c r="H44" s="2" t="str">
        <f>IF(F44="","",F44&amp;"#"&amp;COUNTIF($F$6:F44,F44))</f>
        <v/>
      </c>
    </row>
    <row r="45" spans="1:8" x14ac:dyDescent="0.25">
      <c r="A45" s="10"/>
      <c r="B45" s="11"/>
      <c r="C45" s="11"/>
      <c r="D45" s="11"/>
      <c r="E45" s="11"/>
      <c r="F45" s="10"/>
      <c r="G45" s="2" t="str">
        <f>IF(F45="","",IFERROR(INDEX(Map!$B$2:$B$41,MATCH(F45,Map!$A$2:$A$41,0)),"UNKNOWN CODE"))</f>
        <v/>
      </c>
      <c r="H45" s="2" t="str">
        <f>IF(F45="","",F45&amp;"#"&amp;COUNTIF($F$6:F45,F45))</f>
        <v/>
      </c>
    </row>
    <row r="46" spans="1:8" x14ac:dyDescent="0.25">
      <c r="A46" s="10"/>
      <c r="B46" s="11"/>
      <c r="C46" s="11"/>
      <c r="D46" s="11"/>
      <c r="E46" s="11"/>
      <c r="F46" s="10"/>
      <c r="G46" s="2" t="str">
        <f>IF(F46="","",IFERROR(INDEX(Map!$B$2:$B$41,MATCH(F46,Map!$A$2:$A$41,0)),"UNKNOWN CODE"))</f>
        <v/>
      </c>
      <c r="H46" s="2" t="str">
        <f>IF(F46="","",F46&amp;"#"&amp;COUNTIF($F$6:F46,F46))</f>
        <v/>
      </c>
    </row>
    <row r="47" spans="1:8" x14ac:dyDescent="0.25">
      <c r="A47" s="10"/>
      <c r="B47" s="11"/>
      <c r="C47" s="11"/>
      <c r="D47" s="11"/>
      <c r="E47" s="11"/>
      <c r="F47" s="10"/>
      <c r="G47" s="2" t="str">
        <f>IF(F47="","",IFERROR(INDEX(Map!$B$2:$B$41,MATCH(F47,Map!$A$2:$A$41,0)),"UNKNOWN CODE"))</f>
        <v/>
      </c>
      <c r="H47" s="2" t="str">
        <f>IF(F47="","",F47&amp;"#"&amp;COUNTIF($F$6:F47,F47))</f>
        <v/>
      </c>
    </row>
    <row r="48" spans="1:8" x14ac:dyDescent="0.25">
      <c r="A48" s="10"/>
      <c r="B48" s="11"/>
      <c r="C48" s="11"/>
      <c r="D48" s="11"/>
      <c r="E48" s="11"/>
      <c r="F48" s="10"/>
      <c r="G48" s="2" t="str">
        <f>IF(F48="","",IFERROR(INDEX(Map!$B$2:$B$41,MATCH(F48,Map!$A$2:$A$41,0)),"UNKNOWN CODE"))</f>
        <v/>
      </c>
      <c r="H48" s="2" t="str">
        <f>IF(F48="","",F48&amp;"#"&amp;COUNTIF($F$6:F48,F48))</f>
        <v/>
      </c>
    </row>
    <row r="49" spans="1:8" x14ac:dyDescent="0.25">
      <c r="A49" s="10"/>
      <c r="B49" s="11"/>
      <c r="C49" s="11"/>
      <c r="D49" s="11"/>
      <c r="E49" s="11"/>
      <c r="F49" s="10"/>
      <c r="G49" s="2" t="str">
        <f>IF(F49="","",IFERROR(INDEX(Map!$B$2:$B$41,MATCH(F49,Map!$A$2:$A$41,0)),"UNKNOWN CODE"))</f>
        <v/>
      </c>
      <c r="H49" s="2" t="str">
        <f>IF(F49="","",F49&amp;"#"&amp;COUNTIF($F$6:F49,F49))</f>
        <v/>
      </c>
    </row>
    <row r="50" spans="1:8" x14ac:dyDescent="0.25">
      <c r="A50" s="10"/>
      <c r="B50" s="11"/>
      <c r="C50" s="11"/>
      <c r="D50" s="11"/>
      <c r="E50" s="11"/>
      <c r="F50" s="10"/>
      <c r="G50" s="2" t="str">
        <f>IF(F50="","",IFERROR(INDEX(Map!$B$2:$B$41,MATCH(F50,Map!$A$2:$A$41,0)),"UNKNOWN CODE"))</f>
        <v/>
      </c>
      <c r="H50" s="2" t="str">
        <f>IF(F50="","",F50&amp;"#"&amp;COUNTIF($F$6:F50,F50))</f>
        <v/>
      </c>
    </row>
    <row r="51" spans="1:8" x14ac:dyDescent="0.25">
      <c r="A51" s="10"/>
      <c r="B51" s="11"/>
      <c r="C51" s="11"/>
      <c r="D51" s="11"/>
      <c r="E51" s="11"/>
      <c r="F51" s="10"/>
      <c r="G51" s="2" t="str">
        <f>IF(F51="","",IFERROR(INDEX(Map!$B$2:$B$41,MATCH(F51,Map!$A$2:$A$41,0)),"UNKNOWN CODE"))</f>
        <v/>
      </c>
      <c r="H51" s="2" t="str">
        <f>IF(F51="","",F51&amp;"#"&amp;COUNTIF($F$6:F51,F51))</f>
        <v/>
      </c>
    </row>
    <row r="52" spans="1:8" x14ac:dyDescent="0.25">
      <c r="A52" s="10"/>
      <c r="B52" s="11"/>
      <c r="C52" s="11"/>
      <c r="D52" s="11"/>
      <c r="E52" s="11"/>
      <c r="F52" s="10"/>
      <c r="G52" s="2" t="str">
        <f>IF(F52="","",IFERROR(INDEX(Map!$B$2:$B$41,MATCH(F52,Map!$A$2:$A$41,0)),"UNKNOWN CODE"))</f>
        <v/>
      </c>
      <c r="H52" s="2" t="str">
        <f>IF(F52="","",F52&amp;"#"&amp;COUNTIF($F$6:F52,F52))</f>
        <v/>
      </c>
    </row>
    <row r="53" spans="1:8" x14ac:dyDescent="0.25">
      <c r="A53" s="10"/>
      <c r="B53" s="11"/>
      <c r="C53" s="11"/>
      <c r="D53" s="11"/>
      <c r="E53" s="11"/>
      <c r="F53" s="10"/>
      <c r="G53" s="2" t="str">
        <f>IF(F53="","",IFERROR(INDEX(Map!$B$2:$B$41,MATCH(F53,Map!$A$2:$A$41,0)),"UNKNOWN CODE"))</f>
        <v/>
      </c>
      <c r="H53" s="2" t="str">
        <f>IF(F53="","",F53&amp;"#"&amp;COUNTIF($F$6:F53,F53))</f>
        <v/>
      </c>
    </row>
    <row r="54" spans="1:8" x14ac:dyDescent="0.25">
      <c r="A54" s="10"/>
      <c r="B54" s="11"/>
      <c r="C54" s="11"/>
      <c r="D54" s="11"/>
      <c r="E54" s="11"/>
      <c r="F54" s="10"/>
      <c r="G54" s="2" t="str">
        <f>IF(F54="","",IFERROR(INDEX(Map!$B$2:$B$41,MATCH(F54,Map!$A$2:$A$41,0)),"UNKNOWN CODE"))</f>
        <v/>
      </c>
      <c r="H54" s="2" t="str">
        <f>IF(F54="","",F54&amp;"#"&amp;COUNTIF($F$6:F54,F54))</f>
        <v/>
      </c>
    </row>
    <row r="55" spans="1:8" x14ac:dyDescent="0.25">
      <c r="A55" s="10"/>
      <c r="B55" s="11"/>
      <c r="C55" s="11"/>
      <c r="D55" s="11"/>
      <c r="E55" s="11"/>
      <c r="F55" s="10"/>
      <c r="G55" s="2" t="str">
        <f>IF(F55="","",IFERROR(INDEX(Map!$B$2:$B$41,MATCH(F55,Map!$A$2:$A$41,0)),"UNKNOWN CODE"))</f>
        <v/>
      </c>
      <c r="H55" s="2" t="str">
        <f>IF(F55="","",F55&amp;"#"&amp;COUNTIF($F$6:F55,F55))</f>
        <v/>
      </c>
    </row>
    <row r="56" spans="1:8" x14ac:dyDescent="0.25">
      <c r="A56" s="10"/>
      <c r="B56" s="11"/>
      <c r="C56" s="11"/>
      <c r="D56" s="11"/>
      <c r="E56" s="11"/>
      <c r="F56" s="10"/>
      <c r="G56" s="2" t="str">
        <f>IF(F56="","",IFERROR(INDEX(Map!$B$2:$B$41,MATCH(F56,Map!$A$2:$A$41,0)),"UNKNOWN CODE"))</f>
        <v/>
      </c>
      <c r="H56" s="2" t="str">
        <f>IF(F56="","",F56&amp;"#"&amp;COUNTIF($F$6:F56,F56))</f>
        <v/>
      </c>
    </row>
    <row r="57" spans="1:8" x14ac:dyDescent="0.25">
      <c r="A57" s="10"/>
      <c r="B57" s="11"/>
      <c r="C57" s="11"/>
      <c r="D57" s="11"/>
      <c r="E57" s="11"/>
      <c r="F57" s="10"/>
      <c r="G57" s="2" t="str">
        <f>IF(F57="","",IFERROR(INDEX(Map!$B$2:$B$41,MATCH(F57,Map!$A$2:$A$41,0)),"UNKNOWN CODE"))</f>
        <v/>
      </c>
      <c r="H57" s="2" t="str">
        <f>IF(F57="","",F57&amp;"#"&amp;COUNTIF($F$6:F57,F57))</f>
        <v/>
      </c>
    </row>
    <row r="58" spans="1:8" x14ac:dyDescent="0.25">
      <c r="A58" s="10"/>
      <c r="B58" s="11"/>
      <c r="C58" s="11"/>
      <c r="D58" s="11"/>
      <c r="E58" s="11"/>
      <c r="F58" s="10"/>
      <c r="G58" s="2" t="str">
        <f>IF(F58="","",IFERROR(INDEX(Map!$B$2:$B$41,MATCH(F58,Map!$A$2:$A$41,0)),"UNKNOWN CODE"))</f>
        <v/>
      </c>
      <c r="H58" s="2" t="str">
        <f>IF(F58="","",F58&amp;"#"&amp;COUNTIF($F$6:F58,F58))</f>
        <v/>
      </c>
    </row>
    <row r="59" spans="1:8" x14ac:dyDescent="0.25">
      <c r="A59" s="10"/>
      <c r="B59" s="11"/>
      <c r="C59" s="11"/>
      <c r="D59" s="11"/>
      <c r="E59" s="11"/>
      <c r="F59" s="10"/>
      <c r="G59" s="2" t="str">
        <f>IF(F59="","",IFERROR(INDEX(Map!$B$2:$B$41,MATCH(F59,Map!$A$2:$A$41,0)),"UNKNOWN CODE"))</f>
        <v/>
      </c>
      <c r="H59" s="2" t="str">
        <f>IF(F59="","",F59&amp;"#"&amp;COUNTIF($F$6:F59,F59))</f>
        <v/>
      </c>
    </row>
    <row r="60" spans="1:8" x14ac:dyDescent="0.25">
      <c r="A60" s="10"/>
      <c r="B60" s="11"/>
      <c r="C60" s="11"/>
      <c r="D60" s="11"/>
      <c r="E60" s="11"/>
      <c r="F60" s="10"/>
      <c r="G60" s="2" t="str">
        <f>IF(F60="","",IFERROR(INDEX(Map!$B$2:$B$41,MATCH(F60,Map!$A$2:$A$41,0)),"UNKNOWN CODE"))</f>
        <v/>
      </c>
      <c r="H60" s="2" t="str">
        <f>IF(F60="","",F60&amp;"#"&amp;COUNTIF($F$6:F60,F60))</f>
        <v/>
      </c>
    </row>
    <row r="61" spans="1:8" x14ac:dyDescent="0.25">
      <c r="A61" s="10"/>
      <c r="B61" s="11"/>
      <c r="C61" s="11"/>
      <c r="D61" s="11"/>
      <c r="E61" s="11"/>
      <c r="F61" s="10"/>
      <c r="G61" s="2" t="str">
        <f>IF(F61="","",IFERROR(INDEX(Map!$B$2:$B$41,MATCH(F61,Map!$A$2:$A$41,0)),"UNKNOWN CODE"))</f>
        <v/>
      </c>
      <c r="H61" s="2" t="str">
        <f>IF(F61="","",F61&amp;"#"&amp;COUNTIF($F$6:F61,F61))</f>
        <v/>
      </c>
    </row>
    <row r="62" spans="1:8" x14ac:dyDescent="0.25">
      <c r="A62" s="10"/>
      <c r="B62" s="11"/>
      <c r="C62" s="11"/>
      <c r="D62" s="11"/>
      <c r="E62" s="11"/>
      <c r="F62" s="10"/>
      <c r="G62" s="2" t="str">
        <f>IF(F62="","",IFERROR(INDEX(Map!$B$2:$B$41,MATCH(F62,Map!$A$2:$A$41,0)),"UNKNOWN CODE"))</f>
        <v/>
      </c>
      <c r="H62" s="2" t="str">
        <f>IF(F62="","",F62&amp;"#"&amp;COUNTIF($F$6:F62,F62))</f>
        <v/>
      </c>
    </row>
    <row r="63" spans="1:8" x14ac:dyDescent="0.25">
      <c r="A63" s="10"/>
      <c r="B63" s="11"/>
      <c r="C63" s="11"/>
      <c r="D63" s="11"/>
      <c r="E63" s="11"/>
      <c r="F63" s="10"/>
      <c r="G63" s="2" t="str">
        <f>IF(F63="","",IFERROR(INDEX(Map!$B$2:$B$41,MATCH(F63,Map!$A$2:$A$41,0)),"UNKNOWN CODE"))</f>
        <v/>
      </c>
      <c r="H63" s="2" t="str">
        <f>IF(F63="","",F63&amp;"#"&amp;COUNTIF($F$6:F63,F63))</f>
        <v/>
      </c>
    </row>
    <row r="64" spans="1:8" x14ac:dyDescent="0.25">
      <c r="A64" s="10"/>
      <c r="B64" s="11"/>
      <c r="C64" s="11"/>
      <c r="D64" s="11"/>
      <c r="E64" s="11"/>
      <c r="F64" s="10"/>
      <c r="G64" s="2" t="str">
        <f>IF(F64="","",IFERROR(INDEX(Map!$B$2:$B$41,MATCH(F64,Map!$A$2:$A$41,0)),"UNKNOWN CODE"))</f>
        <v/>
      </c>
      <c r="H64" s="2" t="str">
        <f>IF(F64="","",F64&amp;"#"&amp;COUNTIF($F$6:F64,F64))</f>
        <v/>
      </c>
    </row>
    <row r="65" spans="1:8" x14ac:dyDescent="0.25">
      <c r="A65" s="10"/>
      <c r="B65" s="11"/>
      <c r="C65" s="11"/>
      <c r="D65" s="11"/>
      <c r="E65" s="11"/>
      <c r="F65" s="10"/>
      <c r="G65" s="2" t="str">
        <f>IF(F65="","",IFERROR(INDEX(Map!$B$2:$B$41,MATCH(F65,Map!$A$2:$A$41,0)),"UNKNOWN CODE"))</f>
        <v/>
      </c>
      <c r="H65" s="2" t="str">
        <f>IF(F65="","",F65&amp;"#"&amp;COUNTIF($F$6:F65,F65))</f>
        <v/>
      </c>
    </row>
    <row r="66" spans="1:8" x14ac:dyDescent="0.25">
      <c r="A66" s="10"/>
      <c r="B66" s="11"/>
      <c r="C66" s="11"/>
      <c r="D66" s="11"/>
      <c r="E66" s="11"/>
      <c r="F66" s="10"/>
      <c r="G66" s="2" t="str">
        <f>IF(F66="","",IFERROR(INDEX(Map!$B$2:$B$41,MATCH(F66,Map!$A$2:$A$41,0)),"UNKNOWN CODE"))</f>
        <v/>
      </c>
      <c r="H66" s="2" t="str">
        <f>IF(F66="","",F66&amp;"#"&amp;COUNTIF($F$6:F66,F66))</f>
        <v/>
      </c>
    </row>
    <row r="67" spans="1:8" x14ac:dyDescent="0.25">
      <c r="A67" s="10"/>
      <c r="B67" s="11"/>
      <c r="C67" s="11"/>
      <c r="D67" s="11"/>
      <c r="E67" s="11"/>
      <c r="F67" s="10"/>
      <c r="G67" s="2" t="str">
        <f>IF(F67="","",IFERROR(INDEX(Map!$B$2:$B$41,MATCH(F67,Map!$A$2:$A$41,0)),"UNKNOWN CODE"))</f>
        <v/>
      </c>
      <c r="H67" s="2" t="str">
        <f>IF(F67="","",F67&amp;"#"&amp;COUNTIF($F$6:F67,F67))</f>
        <v/>
      </c>
    </row>
    <row r="68" spans="1:8" x14ac:dyDescent="0.25">
      <c r="A68" s="10"/>
      <c r="B68" s="11"/>
      <c r="C68" s="11"/>
      <c r="D68" s="11"/>
      <c r="E68" s="11"/>
      <c r="F68" s="10"/>
      <c r="G68" s="2" t="str">
        <f>IF(F68="","",IFERROR(INDEX(Map!$B$2:$B$41,MATCH(F68,Map!$A$2:$A$41,0)),"UNKNOWN CODE"))</f>
        <v/>
      </c>
      <c r="H68" s="2" t="str">
        <f>IF(F68="","",F68&amp;"#"&amp;COUNTIF($F$6:F68,F68))</f>
        <v/>
      </c>
    </row>
    <row r="69" spans="1:8" x14ac:dyDescent="0.25">
      <c r="A69" s="10"/>
      <c r="B69" s="11"/>
      <c r="C69" s="11"/>
      <c r="D69" s="11"/>
      <c r="E69" s="11"/>
      <c r="F69" s="10"/>
      <c r="G69" s="2" t="str">
        <f>IF(F69="","",IFERROR(INDEX(Map!$B$2:$B$41,MATCH(F69,Map!$A$2:$A$41,0)),"UNKNOWN CODE"))</f>
        <v/>
      </c>
      <c r="H69" s="2" t="str">
        <f>IF(F69="","",F69&amp;"#"&amp;COUNTIF($F$6:F69,F69))</f>
        <v/>
      </c>
    </row>
    <row r="70" spans="1:8" x14ac:dyDescent="0.25">
      <c r="A70" s="10"/>
      <c r="B70" s="11"/>
      <c r="C70" s="11"/>
      <c r="D70" s="11"/>
      <c r="E70" s="11"/>
      <c r="F70" s="10"/>
      <c r="G70" s="2" t="str">
        <f>IF(F70="","",IFERROR(INDEX(Map!$B$2:$B$41,MATCH(F70,Map!$A$2:$A$41,0)),"UNKNOWN CODE"))</f>
        <v/>
      </c>
      <c r="H70" s="2" t="str">
        <f>IF(F70="","",F70&amp;"#"&amp;COUNTIF($F$6:F70,F70))</f>
        <v/>
      </c>
    </row>
    <row r="71" spans="1:8" x14ac:dyDescent="0.25">
      <c r="A71" s="10"/>
      <c r="B71" s="11"/>
      <c r="C71" s="11"/>
      <c r="D71" s="11"/>
      <c r="E71" s="11"/>
      <c r="F71" s="10"/>
      <c r="G71" s="2" t="str">
        <f>IF(F71="","",IFERROR(INDEX(Map!$B$2:$B$41,MATCH(F71,Map!$A$2:$A$41,0)),"UNKNOWN CODE"))</f>
        <v/>
      </c>
      <c r="H71" s="2" t="str">
        <f>IF(F71="","",F71&amp;"#"&amp;COUNTIF($F$6:F71,F71))</f>
        <v/>
      </c>
    </row>
    <row r="72" spans="1:8" x14ac:dyDescent="0.25">
      <c r="A72" s="10"/>
      <c r="B72" s="11"/>
      <c r="C72" s="11"/>
      <c r="D72" s="11"/>
      <c r="E72" s="11"/>
      <c r="F72" s="10"/>
      <c r="G72" s="2" t="str">
        <f>IF(F72="","",IFERROR(INDEX(Map!$B$2:$B$41,MATCH(F72,Map!$A$2:$A$41,0)),"UNKNOWN CODE"))</f>
        <v/>
      </c>
      <c r="H72" s="2" t="str">
        <f>IF(F72="","",F72&amp;"#"&amp;COUNTIF($F$6:F72,F72))</f>
        <v/>
      </c>
    </row>
    <row r="73" spans="1:8" x14ac:dyDescent="0.25">
      <c r="A73" s="10"/>
      <c r="B73" s="11"/>
      <c r="C73" s="11"/>
      <c r="D73" s="11"/>
      <c r="E73" s="11"/>
      <c r="F73" s="10"/>
      <c r="G73" s="2" t="str">
        <f>IF(F73="","",IFERROR(INDEX(Map!$B$2:$B$41,MATCH(F73,Map!$A$2:$A$41,0)),"UNKNOWN CODE"))</f>
        <v/>
      </c>
      <c r="H73" s="2" t="str">
        <f>IF(F73="","",F73&amp;"#"&amp;COUNTIF($F$6:F73,F73))</f>
        <v/>
      </c>
    </row>
    <row r="74" spans="1:8" x14ac:dyDescent="0.25">
      <c r="A74" s="10"/>
      <c r="B74" s="11"/>
      <c r="C74" s="11"/>
      <c r="D74" s="11"/>
      <c r="E74" s="11"/>
      <c r="F74" s="10"/>
      <c r="G74" s="2" t="str">
        <f>IF(F74="","",IFERROR(INDEX(Map!$B$2:$B$41,MATCH(F74,Map!$A$2:$A$41,0)),"UNKNOWN CODE"))</f>
        <v/>
      </c>
      <c r="H74" s="2" t="str">
        <f>IF(F74="","",F74&amp;"#"&amp;COUNTIF($F$6:F74,F74))</f>
        <v/>
      </c>
    </row>
    <row r="75" spans="1:8" x14ac:dyDescent="0.25">
      <c r="A75" s="10"/>
      <c r="B75" s="11"/>
      <c r="C75" s="11"/>
      <c r="D75" s="11"/>
      <c r="E75" s="11"/>
      <c r="F75" s="10"/>
      <c r="G75" s="2" t="str">
        <f>IF(F75="","",IFERROR(INDEX(Map!$B$2:$B$41,MATCH(F75,Map!$A$2:$A$41,0)),"UNKNOWN CODE"))</f>
        <v/>
      </c>
      <c r="H75" s="2" t="str">
        <f>IF(F75="","",F75&amp;"#"&amp;COUNTIF($F$6:F75,F75))</f>
        <v/>
      </c>
    </row>
    <row r="76" spans="1:8" x14ac:dyDescent="0.25">
      <c r="A76" s="10"/>
      <c r="B76" s="11"/>
      <c r="C76" s="11"/>
      <c r="D76" s="11"/>
      <c r="E76" s="11"/>
      <c r="F76" s="10"/>
      <c r="G76" s="2" t="str">
        <f>IF(F76="","",IFERROR(INDEX(Map!$B$2:$B$41,MATCH(F76,Map!$A$2:$A$41,0)),"UNKNOWN CODE"))</f>
        <v/>
      </c>
      <c r="H76" s="2" t="str">
        <f>IF(F76="","",F76&amp;"#"&amp;COUNTIF($F$6:F76,F76))</f>
        <v/>
      </c>
    </row>
    <row r="77" spans="1:8" x14ac:dyDescent="0.25">
      <c r="A77" s="10"/>
      <c r="B77" s="11"/>
      <c r="C77" s="11"/>
      <c r="D77" s="11"/>
      <c r="E77" s="11"/>
      <c r="F77" s="10"/>
      <c r="G77" s="2" t="str">
        <f>IF(F77="","",IFERROR(INDEX(Map!$B$2:$B$41,MATCH(F77,Map!$A$2:$A$41,0)),"UNKNOWN CODE"))</f>
        <v/>
      </c>
      <c r="H77" s="2" t="str">
        <f>IF(F77="","",F77&amp;"#"&amp;COUNTIF($F$6:F77,F77))</f>
        <v/>
      </c>
    </row>
    <row r="78" spans="1:8" x14ac:dyDescent="0.25">
      <c r="A78" s="10"/>
      <c r="B78" s="11"/>
      <c r="C78" s="11"/>
      <c r="D78" s="11"/>
      <c r="E78" s="11"/>
      <c r="F78" s="10"/>
      <c r="G78" s="2" t="str">
        <f>IF(F78="","",IFERROR(INDEX(Map!$B$2:$B$41,MATCH(F78,Map!$A$2:$A$41,0)),"UNKNOWN CODE"))</f>
        <v/>
      </c>
      <c r="H78" s="2" t="str">
        <f>IF(F78="","",F78&amp;"#"&amp;COUNTIF($F$6:F78,F78))</f>
        <v/>
      </c>
    </row>
    <row r="79" spans="1:8" x14ac:dyDescent="0.25">
      <c r="A79" s="10"/>
      <c r="B79" s="11"/>
      <c r="C79" s="11"/>
      <c r="D79" s="11"/>
      <c r="E79" s="11"/>
      <c r="F79" s="10"/>
      <c r="G79" s="2" t="str">
        <f>IF(F79="","",IFERROR(INDEX(Map!$B$2:$B$41,MATCH(F79,Map!$A$2:$A$41,0)),"UNKNOWN CODE"))</f>
        <v/>
      </c>
      <c r="H79" s="2" t="str">
        <f>IF(F79="","",F79&amp;"#"&amp;COUNTIF($F$6:F79,F79))</f>
        <v/>
      </c>
    </row>
    <row r="80" spans="1:8" x14ac:dyDescent="0.25">
      <c r="A80" s="10"/>
      <c r="B80" s="11"/>
      <c r="C80" s="11"/>
      <c r="D80" s="11"/>
      <c r="E80" s="11"/>
      <c r="F80" s="10"/>
      <c r="G80" s="2" t="str">
        <f>IF(F80="","",IFERROR(INDEX(Map!$B$2:$B$41,MATCH(F80,Map!$A$2:$A$41,0)),"UNKNOWN CODE"))</f>
        <v/>
      </c>
      <c r="H80" s="2" t="str">
        <f>IF(F80="","",F80&amp;"#"&amp;COUNTIF($F$6:F80,F80))</f>
        <v/>
      </c>
    </row>
    <row r="81" spans="1:8" x14ac:dyDescent="0.25">
      <c r="A81" s="10"/>
      <c r="B81" s="11"/>
      <c r="C81" s="11"/>
      <c r="D81" s="11"/>
      <c r="E81" s="11"/>
      <c r="F81" s="10"/>
      <c r="G81" s="2" t="str">
        <f>IF(F81="","",IFERROR(INDEX(Map!$B$2:$B$41,MATCH(F81,Map!$A$2:$A$41,0)),"UNKNOWN CODE"))</f>
        <v/>
      </c>
      <c r="H81" s="2" t="str">
        <f>IF(F81="","",F81&amp;"#"&amp;COUNTIF($F$6:F81,F81))</f>
        <v/>
      </c>
    </row>
    <row r="82" spans="1:8" x14ac:dyDescent="0.25">
      <c r="A82" s="10"/>
      <c r="B82" s="11"/>
      <c r="C82" s="11"/>
      <c r="D82" s="11"/>
      <c r="E82" s="11"/>
      <c r="F82" s="10"/>
      <c r="G82" s="2" t="str">
        <f>IF(F82="","",IFERROR(INDEX(Map!$B$2:$B$41,MATCH(F82,Map!$A$2:$A$41,0)),"UNKNOWN CODE"))</f>
        <v/>
      </c>
      <c r="H82" s="2" t="str">
        <f>IF(F82="","",F82&amp;"#"&amp;COUNTIF($F$6:F82,F82))</f>
        <v/>
      </c>
    </row>
    <row r="83" spans="1:8" x14ac:dyDescent="0.25">
      <c r="A83" s="10"/>
      <c r="B83" s="11"/>
      <c r="C83" s="11"/>
      <c r="D83" s="11"/>
      <c r="E83" s="11"/>
      <c r="F83" s="10"/>
      <c r="G83" s="2" t="str">
        <f>IF(F83="","",IFERROR(INDEX(Map!$B$2:$B$41,MATCH(F83,Map!$A$2:$A$41,0)),"UNKNOWN CODE"))</f>
        <v/>
      </c>
      <c r="H83" s="2" t="str">
        <f>IF(F83="","",F83&amp;"#"&amp;COUNTIF($F$6:F83,F83))</f>
        <v/>
      </c>
    </row>
    <row r="84" spans="1:8" x14ac:dyDescent="0.25">
      <c r="A84" s="10"/>
      <c r="B84" s="11"/>
      <c r="C84" s="11"/>
      <c r="D84" s="11"/>
      <c r="E84" s="11"/>
      <c r="F84" s="10"/>
      <c r="G84" s="2" t="str">
        <f>IF(F84="","",IFERROR(INDEX(Map!$B$2:$B$41,MATCH(F84,Map!$A$2:$A$41,0)),"UNKNOWN CODE"))</f>
        <v/>
      </c>
      <c r="H84" s="2" t="str">
        <f>IF(F84="","",F84&amp;"#"&amp;COUNTIF($F$6:F84,F84))</f>
        <v/>
      </c>
    </row>
    <row r="85" spans="1:8" x14ac:dyDescent="0.25">
      <c r="A85" s="10"/>
      <c r="B85" s="11"/>
      <c r="C85" s="11"/>
      <c r="D85" s="11"/>
      <c r="E85" s="11"/>
      <c r="F85" s="10"/>
      <c r="G85" s="2" t="str">
        <f>IF(F85="","",IFERROR(INDEX(Map!$B$2:$B$41,MATCH(F85,Map!$A$2:$A$41,0)),"UNKNOWN CODE"))</f>
        <v/>
      </c>
      <c r="H85" s="2" t="str">
        <f>IF(F85="","",F85&amp;"#"&amp;COUNTIF($F$6:F85,F85))</f>
        <v/>
      </c>
    </row>
    <row r="86" spans="1:8" x14ac:dyDescent="0.25">
      <c r="A86" s="10"/>
      <c r="B86" s="11"/>
      <c r="C86" s="11"/>
      <c r="D86" s="11"/>
      <c r="E86" s="11"/>
      <c r="F86" s="10"/>
      <c r="G86" s="2" t="str">
        <f>IF(F86="","",IFERROR(INDEX(Map!$B$2:$B$41,MATCH(F86,Map!$A$2:$A$41,0)),"UNKNOWN CODE"))</f>
        <v/>
      </c>
      <c r="H86" s="2" t="str">
        <f>IF(F86="","",F86&amp;"#"&amp;COUNTIF($F$6:F86,F86))</f>
        <v/>
      </c>
    </row>
    <row r="87" spans="1:8" x14ac:dyDescent="0.25">
      <c r="A87" s="10"/>
      <c r="B87" s="11"/>
      <c r="C87" s="11"/>
      <c r="D87" s="11"/>
      <c r="E87" s="11"/>
      <c r="F87" s="10"/>
      <c r="G87" s="2" t="str">
        <f>IF(F87="","",IFERROR(INDEX(Map!$B$2:$B$41,MATCH(F87,Map!$A$2:$A$41,0)),"UNKNOWN CODE"))</f>
        <v/>
      </c>
      <c r="H87" s="2" t="str">
        <f>IF(F87="","",F87&amp;"#"&amp;COUNTIF($F$6:F87,F87))</f>
        <v/>
      </c>
    </row>
    <row r="88" spans="1:8" x14ac:dyDescent="0.25">
      <c r="A88" s="10"/>
      <c r="B88" s="11"/>
      <c r="C88" s="11"/>
      <c r="D88" s="11"/>
      <c r="E88" s="11"/>
      <c r="F88" s="10"/>
      <c r="G88" s="2" t="str">
        <f>IF(F88="","",IFERROR(INDEX(Map!$B$2:$B$41,MATCH(F88,Map!$A$2:$A$41,0)),"UNKNOWN CODE"))</f>
        <v/>
      </c>
      <c r="H88" s="2" t="str">
        <f>IF(F88="","",F88&amp;"#"&amp;COUNTIF($F$6:F88,F88))</f>
        <v/>
      </c>
    </row>
    <row r="89" spans="1:8" x14ac:dyDescent="0.25">
      <c r="A89" s="10"/>
      <c r="B89" s="11"/>
      <c r="C89" s="11"/>
      <c r="D89" s="11"/>
      <c r="E89" s="11"/>
      <c r="F89" s="10"/>
      <c r="G89" s="2" t="str">
        <f>IF(F89="","",IFERROR(INDEX(Map!$B$2:$B$41,MATCH(F89,Map!$A$2:$A$41,0)),"UNKNOWN CODE"))</f>
        <v/>
      </c>
      <c r="H89" s="2" t="str">
        <f>IF(F89="","",F89&amp;"#"&amp;COUNTIF($F$6:F89,F89))</f>
        <v/>
      </c>
    </row>
    <row r="90" spans="1:8" x14ac:dyDescent="0.25">
      <c r="A90" s="10"/>
      <c r="B90" s="11"/>
      <c r="C90" s="11"/>
      <c r="D90" s="11"/>
      <c r="E90" s="11"/>
      <c r="F90" s="10"/>
      <c r="G90" s="2" t="str">
        <f>IF(F90="","",IFERROR(INDEX(Map!$B$2:$B$41,MATCH(F90,Map!$A$2:$A$41,0)),"UNKNOWN CODE"))</f>
        <v/>
      </c>
      <c r="H90" s="2" t="str">
        <f>IF(F90="","",F90&amp;"#"&amp;COUNTIF($F$6:F90,F90))</f>
        <v/>
      </c>
    </row>
    <row r="91" spans="1:8" x14ac:dyDescent="0.25">
      <c r="A91" s="10"/>
      <c r="B91" s="11"/>
      <c r="C91" s="11"/>
      <c r="D91" s="11"/>
      <c r="E91" s="11"/>
      <c r="F91" s="10"/>
      <c r="G91" s="2" t="str">
        <f>IF(F91="","",IFERROR(INDEX(Map!$B$2:$B$41,MATCH(F91,Map!$A$2:$A$41,0)),"UNKNOWN CODE"))</f>
        <v/>
      </c>
      <c r="H91" s="2" t="str">
        <f>IF(F91="","",F91&amp;"#"&amp;COUNTIF($F$6:F91,F91))</f>
        <v/>
      </c>
    </row>
    <row r="92" spans="1:8" x14ac:dyDescent="0.25">
      <c r="A92" s="10"/>
      <c r="B92" s="11"/>
      <c r="C92" s="11"/>
      <c r="D92" s="11"/>
      <c r="E92" s="11"/>
      <c r="F92" s="10"/>
      <c r="G92" s="2" t="str">
        <f>IF(F92="","",IFERROR(INDEX(Map!$B$2:$B$41,MATCH(F92,Map!$A$2:$A$41,0)),"UNKNOWN CODE"))</f>
        <v/>
      </c>
      <c r="H92" s="2" t="str">
        <f>IF(F92="","",F92&amp;"#"&amp;COUNTIF($F$6:F92,F92))</f>
        <v/>
      </c>
    </row>
    <row r="93" spans="1:8" x14ac:dyDescent="0.25">
      <c r="A93" s="10"/>
      <c r="B93" s="11"/>
      <c r="C93" s="11"/>
      <c r="D93" s="11"/>
      <c r="E93" s="11"/>
      <c r="F93" s="10"/>
      <c r="G93" s="2" t="str">
        <f>IF(F93="","",IFERROR(INDEX(Map!$B$2:$B$41,MATCH(F93,Map!$A$2:$A$41,0)),"UNKNOWN CODE"))</f>
        <v/>
      </c>
      <c r="H93" s="2" t="str">
        <f>IF(F93="","",F93&amp;"#"&amp;COUNTIF($F$6:F93,F93))</f>
        <v/>
      </c>
    </row>
    <row r="94" spans="1:8" x14ac:dyDescent="0.25">
      <c r="A94" s="10"/>
      <c r="B94" s="11"/>
      <c r="C94" s="11"/>
      <c r="D94" s="11"/>
      <c r="E94" s="11"/>
      <c r="F94" s="10"/>
      <c r="G94" s="2" t="str">
        <f>IF(F94="","",IFERROR(INDEX(Map!$B$2:$B$41,MATCH(F94,Map!$A$2:$A$41,0)),"UNKNOWN CODE"))</f>
        <v/>
      </c>
      <c r="H94" s="2" t="str">
        <f>IF(F94="","",F94&amp;"#"&amp;COUNTIF($F$6:F94,F94))</f>
        <v/>
      </c>
    </row>
    <row r="95" spans="1:8" x14ac:dyDescent="0.25">
      <c r="A95" s="10"/>
      <c r="B95" s="11"/>
      <c r="C95" s="11"/>
      <c r="D95" s="11"/>
      <c r="E95" s="11"/>
      <c r="F95" s="10"/>
      <c r="G95" s="2" t="str">
        <f>IF(F95="","",IFERROR(INDEX(Map!$B$2:$B$41,MATCH(F95,Map!$A$2:$A$41,0)),"UNKNOWN CODE"))</f>
        <v/>
      </c>
      <c r="H95" s="2" t="str">
        <f>IF(F95="","",F95&amp;"#"&amp;COUNTIF($F$6:F95,F95))</f>
        <v/>
      </c>
    </row>
    <row r="96" spans="1:8" x14ac:dyDescent="0.25">
      <c r="A96" s="10"/>
      <c r="B96" s="11"/>
      <c r="C96" s="11"/>
      <c r="D96" s="11"/>
      <c r="E96" s="11"/>
      <c r="F96" s="10"/>
      <c r="G96" s="2" t="str">
        <f>IF(F96="","",IFERROR(INDEX(Map!$B$2:$B$41,MATCH(F96,Map!$A$2:$A$41,0)),"UNKNOWN CODE"))</f>
        <v/>
      </c>
      <c r="H96" s="2" t="str">
        <f>IF(F96="","",F96&amp;"#"&amp;COUNTIF($F$6:F96,F96))</f>
        <v/>
      </c>
    </row>
    <row r="97" spans="1:8" x14ac:dyDescent="0.25">
      <c r="A97" s="10"/>
      <c r="B97" s="11"/>
      <c r="C97" s="11"/>
      <c r="D97" s="11"/>
      <c r="E97" s="11"/>
      <c r="F97" s="10"/>
      <c r="G97" s="2" t="str">
        <f>IF(F97="","",IFERROR(INDEX(Map!$B$2:$B$41,MATCH(F97,Map!$A$2:$A$41,0)),"UNKNOWN CODE"))</f>
        <v/>
      </c>
      <c r="H97" s="2" t="str">
        <f>IF(F97="","",F97&amp;"#"&amp;COUNTIF($F$6:F97,F97))</f>
        <v/>
      </c>
    </row>
    <row r="98" spans="1:8" x14ac:dyDescent="0.25">
      <c r="A98" s="10"/>
      <c r="B98" s="11"/>
      <c r="C98" s="11"/>
      <c r="D98" s="11"/>
      <c r="E98" s="11"/>
      <c r="F98" s="10"/>
      <c r="G98" s="2" t="str">
        <f>IF(F98="","",IFERROR(INDEX(Map!$B$2:$B$41,MATCH(F98,Map!$A$2:$A$41,0)),"UNKNOWN CODE"))</f>
        <v/>
      </c>
      <c r="H98" s="2" t="str">
        <f>IF(F98="","",F98&amp;"#"&amp;COUNTIF($F$6:F98,F98))</f>
        <v/>
      </c>
    </row>
    <row r="99" spans="1:8" x14ac:dyDescent="0.25">
      <c r="A99" s="10"/>
      <c r="B99" s="11"/>
      <c r="C99" s="11"/>
      <c r="D99" s="11"/>
      <c r="E99" s="11"/>
      <c r="F99" s="10"/>
      <c r="G99" s="2" t="str">
        <f>IF(F99="","",IFERROR(INDEX(Map!$B$2:$B$41,MATCH(F99,Map!$A$2:$A$41,0)),"UNKNOWN CODE"))</f>
        <v/>
      </c>
      <c r="H99" s="2" t="str">
        <f>IF(F99="","",F99&amp;"#"&amp;COUNTIF($F$6:F99,F99))</f>
        <v/>
      </c>
    </row>
    <row r="100" spans="1:8" x14ac:dyDescent="0.25">
      <c r="A100" s="10"/>
      <c r="B100" s="11"/>
      <c r="C100" s="11"/>
      <c r="D100" s="11"/>
      <c r="E100" s="11"/>
      <c r="F100" s="10"/>
      <c r="G100" s="2" t="str">
        <f>IF(F100="","",IFERROR(INDEX(Map!$B$2:$B$41,MATCH(F100,Map!$A$2:$A$41,0)),"UNKNOWN CODE"))</f>
        <v/>
      </c>
      <c r="H100" s="2" t="str">
        <f>IF(F100="","",F100&amp;"#"&amp;COUNTIF($F$6:F100,F100))</f>
        <v/>
      </c>
    </row>
    <row r="101" spans="1:8" x14ac:dyDescent="0.25">
      <c r="A101" s="10"/>
      <c r="B101" s="11"/>
      <c r="C101" s="11"/>
      <c r="D101" s="11"/>
      <c r="E101" s="11"/>
      <c r="F101" s="10"/>
      <c r="G101" s="2" t="str">
        <f>IF(F101="","",IFERROR(INDEX(Map!$B$2:$B$41,MATCH(F101,Map!$A$2:$A$41,0)),"UNKNOWN CODE"))</f>
        <v/>
      </c>
      <c r="H101" s="2" t="str">
        <f>IF(F101="","",F101&amp;"#"&amp;COUNTIF($F$6:F101,F101))</f>
        <v/>
      </c>
    </row>
    <row r="102" spans="1:8" x14ac:dyDescent="0.25">
      <c r="A102" s="10"/>
      <c r="B102" s="11"/>
      <c r="C102" s="11"/>
      <c r="D102" s="11"/>
      <c r="E102" s="11"/>
      <c r="F102" s="10"/>
      <c r="G102" s="2" t="str">
        <f>IF(F102="","",IFERROR(INDEX(Map!$B$2:$B$41,MATCH(F102,Map!$A$2:$A$41,0)),"UNKNOWN CODE"))</f>
        <v/>
      </c>
      <c r="H102" s="2" t="str">
        <f>IF(F102="","",F102&amp;"#"&amp;COUNTIF($F$6:F102,F102))</f>
        <v/>
      </c>
    </row>
    <row r="103" spans="1:8" x14ac:dyDescent="0.25">
      <c r="A103" s="10"/>
      <c r="B103" s="11"/>
      <c r="C103" s="11"/>
      <c r="D103" s="11"/>
      <c r="E103" s="11"/>
      <c r="F103" s="10"/>
      <c r="G103" s="2" t="str">
        <f>IF(F103="","",IFERROR(INDEX(Map!$B$2:$B$41,MATCH(F103,Map!$A$2:$A$41,0)),"UNKNOWN CODE"))</f>
        <v/>
      </c>
      <c r="H103" s="2" t="str">
        <f>IF(F103="","",F103&amp;"#"&amp;COUNTIF($F$6:F103,F103))</f>
        <v/>
      </c>
    </row>
    <row r="104" spans="1:8" x14ac:dyDescent="0.25">
      <c r="A104" s="10"/>
      <c r="B104" s="11"/>
      <c r="C104" s="11"/>
      <c r="D104" s="11"/>
      <c r="E104" s="11"/>
      <c r="F104" s="10"/>
      <c r="G104" s="2" t="str">
        <f>IF(F104="","",IFERROR(INDEX(Map!$B$2:$B$41,MATCH(F104,Map!$A$2:$A$41,0)),"UNKNOWN CODE"))</f>
        <v/>
      </c>
      <c r="H104" s="2" t="str">
        <f>IF(F104="","",F104&amp;"#"&amp;COUNTIF($F$6:F104,F104))</f>
        <v/>
      </c>
    </row>
    <row r="105" spans="1:8" x14ac:dyDescent="0.25">
      <c r="A105" s="10"/>
      <c r="B105" s="11"/>
      <c r="C105" s="11"/>
      <c r="D105" s="11"/>
      <c r="E105" s="11"/>
      <c r="F105" s="10"/>
      <c r="G105" s="2" t="str">
        <f>IF(F105="","",IFERROR(INDEX(Map!$B$2:$B$41,MATCH(F105,Map!$A$2:$A$41,0)),"UNKNOWN CODE"))</f>
        <v/>
      </c>
      <c r="H105" s="2" t="str">
        <f>IF(F105="","",F105&amp;"#"&amp;COUNTIF($F$6:F105,F105))</f>
        <v/>
      </c>
    </row>
    <row r="106" spans="1:8" x14ac:dyDescent="0.25">
      <c r="A106" s="10"/>
      <c r="B106" s="11"/>
      <c r="C106" s="11"/>
      <c r="D106" s="11"/>
      <c r="E106" s="11"/>
      <c r="F106" s="10"/>
      <c r="G106" s="2" t="str">
        <f>IF(F106="","",IFERROR(INDEX(Map!$B$2:$B$41,MATCH(F106,Map!$A$2:$A$41,0)),"UNKNOWN CODE"))</f>
        <v/>
      </c>
      <c r="H106" s="2" t="str">
        <f>IF(F106="","",F106&amp;"#"&amp;COUNTIF($F$6:F106,F106))</f>
        <v/>
      </c>
    </row>
    <row r="107" spans="1:8" x14ac:dyDescent="0.25">
      <c r="A107" s="10"/>
      <c r="B107" s="11"/>
      <c r="C107" s="11"/>
      <c r="D107" s="11"/>
      <c r="E107" s="11"/>
      <c r="F107" s="10"/>
      <c r="G107" s="2" t="str">
        <f>IF(F107="","",IFERROR(INDEX(Map!$B$2:$B$41,MATCH(F107,Map!$A$2:$A$41,0)),"UNKNOWN CODE"))</f>
        <v/>
      </c>
      <c r="H107" s="2" t="str">
        <f>IF(F107="","",F107&amp;"#"&amp;COUNTIF($F$6:F107,F107))</f>
        <v/>
      </c>
    </row>
    <row r="108" spans="1:8" x14ac:dyDescent="0.25">
      <c r="A108" s="10"/>
      <c r="B108" s="11"/>
      <c r="C108" s="11"/>
      <c r="D108" s="11"/>
      <c r="E108" s="11"/>
      <c r="F108" s="10"/>
      <c r="G108" s="2" t="str">
        <f>IF(F108="","",IFERROR(INDEX(Map!$B$2:$B$41,MATCH(F108,Map!$A$2:$A$41,0)),"UNKNOWN CODE"))</f>
        <v/>
      </c>
      <c r="H108" s="2" t="str">
        <f>IF(F108="","",F108&amp;"#"&amp;COUNTIF($F$6:F108,F108))</f>
        <v/>
      </c>
    </row>
    <row r="109" spans="1:8" x14ac:dyDescent="0.25">
      <c r="A109" s="10"/>
      <c r="B109" s="11"/>
      <c r="C109" s="11"/>
      <c r="D109" s="11"/>
      <c r="E109" s="11"/>
      <c r="F109" s="10"/>
      <c r="G109" s="2" t="str">
        <f>IF(F109="","",IFERROR(INDEX(Map!$B$2:$B$41,MATCH(F109,Map!$A$2:$A$41,0)),"UNKNOWN CODE"))</f>
        <v/>
      </c>
      <c r="H109" s="2" t="str">
        <f>IF(F109="","",F109&amp;"#"&amp;COUNTIF($F$6:F109,F109))</f>
        <v/>
      </c>
    </row>
    <row r="110" spans="1:8" x14ac:dyDescent="0.25">
      <c r="A110" s="10"/>
      <c r="B110" s="11"/>
      <c r="C110" s="11"/>
      <c r="D110" s="11"/>
      <c r="E110" s="11"/>
      <c r="F110" s="10"/>
      <c r="G110" s="2" t="str">
        <f>IF(F110="","",IFERROR(INDEX(Map!$B$2:$B$41,MATCH(F110,Map!$A$2:$A$41,0)),"UNKNOWN CODE"))</f>
        <v/>
      </c>
      <c r="H110" s="2" t="str">
        <f>IF(F110="","",F110&amp;"#"&amp;COUNTIF($F$6:F110,F110))</f>
        <v/>
      </c>
    </row>
    <row r="111" spans="1:8" x14ac:dyDescent="0.25">
      <c r="A111" s="10"/>
      <c r="B111" s="11"/>
      <c r="C111" s="11"/>
      <c r="D111" s="11"/>
      <c r="E111" s="11"/>
      <c r="F111" s="10"/>
      <c r="G111" s="2" t="str">
        <f>IF(F111="","",IFERROR(INDEX(Map!$B$2:$B$41,MATCH(F111,Map!$A$2:$A$41,0)),"UNKNOWN CODE"))</f>
        <v/>
      </c>
      <c r="H111" s="2" t="str">
        <f>IF(F111="","",F111&amp;"#"&amp;COUNTIF($F$6:F111,F111))</f>
        <v/>
      </c>
    </row>
    <row r="112" spans="1:8" x14ac:dyDescent="0.25">
      <c r="A112" s="10"/>
      <c r="B112" s="11"/>
      <c r="C112" s="11"/>
      <c r="D112" s="11"/>
      <c r="E112" s="11"/>
      <c r="F112" s="10"/>
      <c r="G112" s="2" t="str">
        <f>IF(F112="","",IFERROR(INDEX(Map!$B$2:$B$41,MATCH(F112,Map!$A$2:$A$41,0)),"UNKNOWN CODE"))</f>
        <v/>
      </c>
      <c r="H112" s="2" t="str">
        <f>IF(F112="","",F112&amp;"#"&amp;COUNTIF($F$6:F112,F112))</f>
        <v/>
      </c>
    </row>
    <row r="113" spans="1:8" x14ac:dyDescent="0.25">
      <c r="A113" s="10"/>
      <c r="B113" s="11"/>
      <c r="C113" s="11"/>
      <c r="D113" s="11"/>
      <c r="E113" s="11"/>
      <c r="F113" s="10"/>
      <c r="G113" s="2" t="str">
        <f>IF(F113="","",IFERROR(INDEX(Map!$B$2:$B$41,MATCH(F113,Map!$A$2:$A$41,0)),"UNKNOWN CODE"))</f>
        <v/>
      </c>
      <c r="H113" s="2" t="str">
        <f>IF(F113="","",F113&amp;"#"&amp;COUNTIF($F$6:F113,F113))</f>
        <v/>
      </c>
    </row>
    <row r="114" spans="1:8" x14ac:dyDescent="0.25">
      <c r="A114" s="10"/>
      <c r="B114" s="11"/>
      <c r="C114" s="11"/>
      <c r="D114" s="11"/>
      <c r="E114" s="11"/>
      <c r="F114" s="10"/>
      <c r="G114" s="2" t="str">
        <f>IF(F114="","",IFERROR(INDEX(Map!$B$2:$B$41,MATCH(F114,Map!$A$2:$A$41,0)),"UNKNOWN CODE"))</f>
        <v/>
      </c>
      <c r="H114" s="2" t="str">
        <f>IF(F114="","",F114&amp;"#"&amp;COUNTIF($F$6:F114,F114))</f>
        <v/>
      </c>
    </row>
    <row r="115" spans="1:8" x14ac:dyDescent="0.25">
      <c r="A115" s="10"/>
      <c r="B115" s="11"/>
      <c r="C115" s="11"/>
      <c r="D115" s="11"/>
      <c r="E115" s="11"/>
      <c r="F115" s="10"/>
      <c r="G115" s="2" t="str">
        <f>IF(F115="","",IFERROR(INDEX(Map!$B$2:$B$41,MATCH(F115,Map!$A$2:$A$41,0)),"UNKNOWN CODE"))</f>
        <v/>
      </c>
      <c r="H115" s="2" t="str">
        <f>IF(F115="","",F115&amp;"#"&amp;COUNTIF($F$6:F115,F115))</f>
        <v/>
      </c>
    </row>
    <row r="116" spans="1:8" x14ac:dyDescent="0.25">
      <c r="A116" s="10"/>
      <c r="B116" s="11"/>
      <c r="C116" s="11"/>
      <c r="D116" s="11"/>
      <c r="E116" s="11"/>
      <c r="F116" s="10"/>
      <c r="G116" s="2" t="str">
        <f>IF(F116="","",IFERROR(INDEX(Map!$B$2:$B$41,MATCH(F116,Map!$A$2:$A$41,0)),"UNKNOWN CODE"))</f>
        <v/>
      </c>
      <c r="H116" s="2" t="str">
        <f>IF(F116="","",F116&amp;"#"&amp;COUNTIF($F$6:F116,F116))</f>
        <v/>
      </c>
    </row>
    <row r="117" spans="1:8" x14ac:dyDescent="0.25">
      <c r="A117" s="10"/>
      <c r="B117" s="11"/>
      <c r="C117" s="11"/>
      <c r="D117" s="11"/>
      <c r="E117" s="11"/>
      <c r="F117" s="10"/>
      <c r="G117" s="2" t="str">
        <f>IF(F117="","",IFERROR(INDEX(Map!$B$2:$B$41,MATCH(F117,Map!$A$2:$A$41,0)),"UNKNOWN CODE"))</f>
        <v/>
      </c>
      <c r="H117" s="2" t="str">
        <f>IF(F117="","",F117&amp;"#"&amp;COUNTIF($F$6:F117,F117))</f>
        <v/>
      </c>
    </row>
    <row r="118" spans="1:8" x14ac:dyDescent="0.25">
      <c r="A118" s="10"/>
      <c r="B118" s="11"/>
      <c r="C118" s="11"/>
      <c r="D118" s="11"/>
      <c r="E118" s="11"/>
      <c r="F118" s="10"/>
      <c r="G118" s="2" t="str">
        <f>IF(F118="","",IFERROR(INDEX(Map!$B$2:$B$41,MATCH(F118,Map!$A$2:$A$41,0)),"UNKNOWN CODE"))</f>
        <v/>
      </c>
      <c r="H118" s="2" t="str">
        <f>IF(F118="","",F118&amp;"#"&amp;COUNTIF($F$6:F118,F118))</f>
        <v/>
      </c>
    </row>
    <row r="119" spans="1:8" x14ac:dyDescent="0.25">
      <c r="A119" s="10"/>
      <c r="B119" s="11"/>
      <c r="C119" s="11"/>
      <c r="D119" s="11"/>
      <c r="E119" s="11"/>
      <c r="F119" s="10"/>
      <c r="G119" s="2" t="str">
        <f>IF(F119="","",IFERROR(INDEX(Map!$B$2:$B$41,MATCH(F119,Map!$A$2:$A$41,0)),"UNKNOWN CODE"))</f>
        <v/>
      </c>
      <c r="H119" s="2" t="str">
        <f>IF(F119="","",F119&amp;"#"&amp;COUNTIF($F$6:F119,F119))</f>
        <v/>
      </c>
    </row>
    <row r="120" spans="1:8" x14ac:dyDescent="0.25">
      <c r="A120" s="10"/>
      <c r="B120" s="11"/>
      <c r="C120" s="11"/>
      <c r="D120" s="11"/>
      <c r="E120" s="11"/>
      <c r="F120" s="10"/>
      <c r="G120" s="2" t="str">
        <f>IF(F120="","",IFERROR(INDEX(Map!$B$2:$B$41,MATCH(F120,Map!$A$2:$A$41,0)),"UNKNOWN CODE"))</f>
        <v/>
      </c>
      <c r="H120" s="2" t="str">
        <f>IF(F120="","",F120&amp;"#"&amp;COUNTIF($F$6:F120,F120))</f>
        <v/>
      </c>
    </row>
    <row r="121" spans="1:8" x14ac:dyDescent="0.25">
      <c r="A121" s="10"/>
      <c r="B121" s="11"/>
      <c r="C121" s="11"/>
      <c r="D121" s="11"/>
      <c r="E121" s="11"/>
      <c r="F121" s="10"/>
      <c r="G121" s="2" t="str">
        <f>IF(F121="","",IFERROR(INDEX(Map!$B$2:$B$41,MATCH(F121,Map!$A$2:$A$41,0)),"UNKNOWN CODE"))</f>
        <v/>
      </c>
      <c r="H121" s="2" t="str">
        <f>IF(F121="","",F121&amp;"#"&amp;COUNTIF($F$6:F121,F121))</f>
        <v/>
      </c>
    </row>
    <row r="122" spans="1:8" x14ac:dyDescent="0.25">
      <c r="A122" s="10"/>
      <c r="B122" s="11"/>
      <c r="C122" s="11"/>
      <c r="D122" s="11"/>
      <c r="E122" s="11"/>
      <c r="F122" s="10"/>
      <c r="G122" s="2" t="str">
        <f>IF(F122="","",IFERROR(INDEX(Map!$B$2:$B$41,MATCH(F122,Map!$A$2:$A$41,0)),"UNKNOWN CODE"))</f>
        <v/>
      </c>
      <c r="H122" s="2" t="str">
        <f>IF(F122="","",F122&amp;"#"&amp;COUNTIF($F$6:F122,F122))</f>
        <v/>
      </c>
    </row>
    <row r="123" spans="1:8" x14ac:dyDescent="0.25">
      <c r="A123" s="10"/>
      <c r="B123" s="11"/>
      <c r="C123" s="11"/>
      <c r="D123" s="11"/>
      <c r="E123" s="11"/>
      <c r="F123" s="10"/>
      <c r="G123" s="2" t="str">
        <f>IF(F123="","",IFERROR(INDEX(Map!$B$2:$B$41,MATCH(F123,Map!$A$2:$A$41,0)),"UNKNOWN CODE"))</f>
        <v/>
      </c>
      <c r="H123" s="2" t="str">
        <f>IF(F123="","",F123&amp;"#"&amp;COUNTIF($F$6:F123,F123))</f>
        <v/>
      </c>
    </row>
    <row r="124" spans="1:8" x14ac:dyDescent="0.25">
      <c r="A124" s="10"/>
      <c r="B124" s="11"/>
      <c r="C124" s="11"/>
      <c r="D124" s="11"/>
      <c r="E124" s="11"/>
      <c r="F124" s="10"/>
      <c r="G124" s="2" t="str">
        <f>IF(F124="","",IFERROR(INDEX(Map!$B$2:$B$41,MATCH(F124,Map!$A$2:$A$41,0)),"UNKNOWN CODE"))</f>
        <v/>
      </c>
      <c r="H124" s="2" t="str">
        <f>IF(F124="","",F124&amp;"#"&amp;COUNTIF($F$6:F124,F124))</f>
        <v/>
      </c>
    </row>
    <row r="125" spans="1:8" x14ac:dyDescent="0.25">
      <c r="A125" s="10"/>
      <c r="B125" s="11"/>
      <c r="C125" s="11"/>
      <c r="D125" s="11"/>
      <c r="E125" s="11"/>
      <c r="F125" s="10"/>
      <c r="G125" s="2" t="str">
        <f>IF(F125="","",IFERROR(INDEX(Map!$B$2:$B$41,MATCH(F125,Map!$A$2:$A$41,0)),"UNKNOWN CODE"))</f>
        <v/>
      </c>
      <c r="H125" s="2" t="str">
        <f>IF(F125="","",F125&amp;"#"&amp;COUNTIF($F$6:F125,F125))</f>
        <v/>
      </c>
    </row>
    <row r="126" spans="1:8" x14ac:dyDescent="0.25">
      <c r="A126" s="10"/>
      <c r="B126" s="11"/>
      <c r="C126" s="11"/>
      <c r="D126" s="11"/>
      <c r="E126" s="11"/>
      <c r="F126" s="10"/>
      <c r="G126" s="2" t="str">
        <f>IF(F126="","",IFERROR(INDEX(Map!$B$2:$B$41,MATCH(F126,Map!$A$2:$A$41,0)),"UNKNOWN CODE"))</f>
        <v/>
      </c>
      <c r="H126" s="2" t="str">
        <f>IF(F126="","",F126&amp;"#"&amp;COUNTIF($F$6:F126,F126))</f>
        <v/>
      </c>
    </row>
    <row r="127" spans="1:8" x14ac:dyDescent="0.25">
      <c r="A127" s="10"/>
      <c r="B127" s="11"/>
      <c r="C127" s="11"/>
      <c r="D127" s="11"/>
      <c r="E127" s="11"/>
      <c r="F127" s="10"/>
      <c r="G127" s="2" t="str">
        <f>IF(F127="","",IFERROR(INDEX(Map!$B$2:$B$41,MATCH(F127,Map!$A$2:$A$41,0)),"UNKNOWN CODE"))</f>
        <v/>
      </c>
      <c r="H127" s="2" t="str">
        <f>IF(F127="","",F127&amp;"#"&amp;COUNTIF($F$6:F127,F127))</f>
        <v/>
      </c>
    </row>
    <row r="128" spans="1:8" x14ac:dyDescent="0.25">
      <c r="A128" s="10"/>
      <c r="B128" s="11"/>
      <c r="C128" s="11"/>
      <c r="D128" s="11"/>
      <c r="E128" s="11"/>
      <c r="F128" s="10"/>
      <c r="G128" s="2" t="str">
        <f>IF(F128="","",IFERROR(INDEX(Map!$B$2:$B$41,MATCH(F128,Map!$A$2:$A$41,0)),"UNKNOWN CODE"))</f>
        <v/>
      </c>
      <c r="H128" s="2" t="str">
        <f>IF(F128="","",F128&amp;"#"&amp;COUNTIF($F$6:F128,F128))</f>
        <v/>
      </c>
    </row>
    <row r="129" spans="1:8" x14ac:dyDescent="0.25">
      <c r="A129" s="10"/>
      <c r="B129" s="11"/>
      <c r="C129" s="11"/>
      <c r="D129" s="11"/>
      <c r="E129" s="11"/>
      <c r="F129" s="10"/>
      <c r="G129" s="2" t="str">
        <f>IF(F129="","",IFERROR(INDEX(Map!$B$2:$B$41,MATCH(F129,Map!$A$2:$A$41,0)),"UNKNOWN CODE"))</f>
        <v/>
      </c>
      <c r="H129" s="2" t="str">
        <f>IF(F129="","",F129&amp;"#"&amp;COUNTIF($F$6:F129,F129))</f>
        <v/>
      </c>
    </row>
    <row r="130" spans="1:8" x14ac:dyDescent="0.25">
      <c r="A130" s="10"/>
      <c r="B130" s="11"/>
      <c r="C130" s="11"/>
      <c r="D130" s="11"/>
      <c r="E130" s="11"/>
      <c r="F130" s="10"/>
      <c r="G130" s="2" t="str">
        <f>IF(F130="","",IFERROR(INDEX(Map!$B$2:$B$41,MATCH(F130,Map!$A$2:$A$41,0)),"UNKNOWN CODE"))</f>
        <v/>
      </c>
      <c r="H130" s="2" t="str">
        <f>IF(F130="","",F130&amp;"#"&amp;COUNTIF($F$6:F130,F130))</f>
        <v/>
      </c>
    </row>
    <row r="131" spans="1:8" x14ac:dyDescent="0.25">
      <c r="A131" s="10"/>
      <c r="B131" s="11"/>
      <c r="C131" s="11"/>
      <c r="D131" s="11"/>
      <c r="E131" s="11"/>
      <c r="F131" s="10"/>
      <c r="G131" s="2" t="str">
        <f>IF(F131="","",IFERROR(INDEX(Map!$B$2:$B$41,MATCH(F131,Map!$A$2:$A$41,0)),"UNKNOWN CODE"))</f>
        <v/>
      </c>
      <c r="H131" s="2" t="str">
        <f>IF(F131="","",F131&amp;"#"&amp;COUNTIF($F$6:F131,F131))</f>
        <v/>
      </c>
    </row>
    <row r="132" spans="1:8" x14ac:dyDescent="0.25">
      <c r="A132" s="10"/>
      <c r="B132" s="11"/>
      <c r="C132" s="11"/>
      <c r="D132" s="11"/>
      <c r="E132" s="11"/>
      <c r="F132" s="10"/>
      <c r="G132" s="2" t="str">
        <f>IF(F132="","",IFERROR(INDEX(Map!$B$2:$B$41,MATCH(F132,Map!$A$2:$A$41,0)),"UNKNOWN CODE"))</f>
        <v/>
      </c>
      <c r="H132" s="2" t="str">
        <f>IF(F132="","",F132&amp;"#"&amp;COUNTIF($F$6:F132,F132))</f>
        <v/>
      </c>
    </row>
    <row r="133" spans="1:8" x14ac:dyDescent="0.25">
      <c r="A133" s="10"/>
      <c r="B133" s="11"/>
      <c r="C133" s="11"/>
      <c r="D133" s="11"/>
      <c r="E133" s="11"/>
      <c r="F133" s="10"/>
      <c r="G133" s="2" t="str">
        <f>IF(F133="","",IFERROR(INDEX(Map!$B$2:$B$41,MATCH(F133,Map!$A$2:$A$41,0)),"UNKNOWN CODE"))</f>
        <v/>
      </c>
      <c r="H133" s="2" t="str">
        <f>IF(F133="","",F133&amp;"#"&amp;COUNTIF($F$6:F133,F133))</f>
        <v/>
      </c>
    </row>
    <row r="134" spans="1:8" x14ac:dyDescent="0.25">
      <c r="A134" s="10"/>
      <c r="B134" s="11"/>
      <c r="C134" s="11"/>
      <c r="D134" s="11"/>
      <c r="E134" s="11"/>
      <c r="F134" s="10"/>
      <c r="G134" s="2" t="str">
        <f>IF(F134="","",IFERROR(INDEX(Map!$B$2:$B$41,MATCH(F134,Map!$A$2:$A$41,0)),"UNKNOWN CODE"))</f>
        <v/>
      </c>
      <c r="H134" s="2" t="str">
        <f>IF(F134="","",F134&amp;"#"&amp;COUNTIF($F$6:F134,F134))</f>
        <v/>
      </c>
    </row>
    <row r="135" spans="1:8" x14ac:dyDescent="0.25">
      <c r="A135" s="10"/>
      <c r="B135" s="11"/>
      <c r="C135" s="11"/>
      <c r="D135" s="11"/>
      <c r="E135" s="11"/>
      <c r="F135" s="10"/>
      <c r="G135" s="2" t="str">
        <f>IF(F135="","",IFERROR(INDEX(Map!$B$2:$B$41,MATCH(F135,Map!$A$2:$A$41,0)),"UNKNOWN CODE"))</f>
        <v/>
      </c>
      <c r="H135" s="2" t="str">
        <f>IF(F135="","",F135&amp;"#"&amp;COUNTIF($F$6:F135,F135))</f>
        <v/>
      </c>
    </row>
    <row r="136" spans="1:8" x14ac:dyDescent="0.25">
      <c r="A136" s="10"/>
      <c r="B136" s="11"/>
      <c r="C136" s="11"/>
      <c r="D136" s="11"/>
      <c r="E136" s="11"/>
      <c r="F136" s="10"/>
      <c r="G136" s="2" t="str">
        <f>IF(F136="","",IFERROR(INDEX(Map!$B$2:$B$41,MATCH(F136,Map!$A$2:$A$41,0)),"UNKNOWN CODE"))</f>
        <v/>
      </c>
      <c r="H136" s="2" t="str">
        <f>IF(F136="","",F136&amp;"#"&amp;COUNTIF($F$6:F136,F136))</f>
        <v/>
      </c>
    </row>
    <row r="137" spans="1:8" x14ac:dyDescent="0.25">
      <c r="A137" s="10"/>
      <c r="B137" s="11"/>
      <c r="C137" s="11"/>
      <c r="D137" s="11"/>
      <c r="E137" s="11"/>
      <c r="F137" s="10"/>
      <c r="G137" s="2" t="str">
        <f>IF(F137="","",IFERROR(INDEX(Map!$B$2:$B$41,MATCH(F137,Map!$A$2:$A$41,0)),"UNKNOWN CODE"))</f>
        <v/>
      </c>
      <c r="H137" s="2" t="str">
        <f>IF(F137="","",F137&amp;"#"&amp;COUNTIF($F$6:F137,F137))</f>
        <v/>
      </c>
    </row>
    <row r="138" spans="1:8" x14ac:dyDescent="0.25">
      <c r="A138" s="10"/>
      <c r="B138" s="11"/>
      <c r="C138" s="11"/>
      <c r="D138" s="11"/>
      <c r="E138" s="11"/>
      <c r="F138" s="10"/>
      <c r="G138" s="2" t="str">
        <f>IF(F138="","",IFERROR(INDEX(Map!$B$2:$B$41,MATCH(F138,Map!$A$2:$A$41,0)),"UNKNOWN CODE"))</f>
        <v/>
      </c>
      <c r="H138" s="2" t="str">
        <f>IF(F138="","",F138&amp;"#"&amp;COUNTIF($F$6:F138,F138))</f>
        <v/>
      </c>
    </row>
    <row r="139" spans="1:8" x14ac:dyDescent="0.25">
      <c r="A139" s="10"/>
      <c r="B139" s="11"/>
      <c r="C139" s="11"/>
      <c r="D139" s="11"/>
      <c r="E139" s="11"/>
      <c r="F139" s="10"/>
      <c r="G139" s="2" t="str">
        <f>IF(F139="","",IFERROR(INDEX(Map!$B$2:$B$41,MATCH(F139,Map!$A$2:$A$41,0)),"UNKNOWN CODE"))</f>
        <v/>
      </c>
      <c r="H139" s="2" t="str">
        <f>IF(F139="","",F139&amp;"#"&amp;COUNTIF($F$6:F139,F139))</f>
        <v/>
      </c>
    </row>
    <row r="140" spans="1:8" x14ac:dyDescent="0.25">
      <c r="A140" s="10"/>
      <c r="B140" s="11"/>
      <c r="C140" s="11"/>
      <c r="D140" s="11"/>
      <c r="E140" s="11"/>
      <c r="F140" s="10"/>
      <c r="G140" s="2" t="str">
        <f>IF(F140="","",IFERROR(INDEX(Map!$B$2:$B$41,MATCH(F140,Map!$A$2:$A$41,0)),"UNKNOWN CODE"))</f>
        <v/>
      </c>
      <c r="H140" s="2" t="str">
        <f>IF(F140="","",F140&amp;"#"&amp;COUNTIF($F$6:F140,F140))</f>
        <v/>
      </c>
    </row>
    <row r="141" spans="1:8" x14ac:dyDescent="0.25">
      <c r="A141" s="10"/>
      <c r="B141" s="11"/>
      <c r="C141" s="11"/>
      <c r="D141" s="11"/>
      <c r="E141" s="11"/>
      <c r="F141" s="10"/>
      <c r="G141" s="2" t="str">
        <f>IF(F141="","",IFERROR(INDEX(Map!$B$2:$B$41,MATCH(F141,Map!$A$2:$A$41,0)),"UNKNOWN CODE"))</f>
        <v/>
      </c>
      <c r="H141" s="2" t="str">
        <f>IF(F141="","",F141&amp;"#"&amp;COUNTIF($F$6:F141,F141))</f>
        <v/>
      </c>
    </row>
    <row r="142" spans="1:8" x14ac:dyDescent="0.25">
      <c r="A142" s="10"/>
      <c r="B142" s="11"/>
      <c r="C142" s="11"/>
      <c r="D142" s="11"/>
      <c r="E142" s="11"/>
      <c r="F142" s="10"/>
      <c r="G142" s="2" t="str">
        <f>IF(F142="","",IFERROR(INDEX(Map!$B$2:$B$41,MATCH(F142,Map!$A$2:$A$41,0)),"UNKNOWN CODE"))</f>
        <v/>
      </c>
      <c r="H142" s="2" t="str">
        <f>IF(F142="","",F142&amp;"#"&amp;COUNTIF($F$6:F142,F142))</f>
        <v/>
      </c>
    </row>
    <row r="143" spans="1:8" x14ac:dyDescent="0.25">
      <c r="A143" s="10"/>
      <c r="B143" s="11"/>
      <c r="C143" s="11"/>
      <c r="D143" s="11"/>
      <c r="E143" s="11"/>
      <c r="F143" s="10"/>
      <c r="G143" s="2" t="str">
        <f>IF(F143="","",IFERROR(INDEX(Map!$B$2:$B$41,MATCH(F143,Map!$A$2:$A$41,0)),"UNKNOWN CODE"))</f>
        <v/>
      </c>
      <c r="H143" s="2" t="str">
        <f>IF(F143="","",F143&amp;"#"&amp;COUNTIF($F$6:F143,F143))</f>
        <v/>
      </c>
    </row>
    <row r="144" spans="1:8" x14ac:dyDescent="0.25">
      <c r="A144" s="10"/>
      <c r="B144" s="11"/>
      <c r="C144" s="11"/>
      <c r="D144" s="11"/>
      <c r="E144" s="11"/>
      <c r="F144" s="10"/>
      <c r="G144" s="2" t="str">
        <f>IF(F144="","",IFERROR(INDEX(Map!$B$2:$B$41,MATCH(F144,Map!$A$2:$A$41,0)),"UNKNOWN CODE"))</f>
        <v/>
      </c>
      <c r="H144" s="2" t="str">
        <f>IF(F144="","",F144&amp;"#"&amp;COUNTIF($F$6:F144,F144))</f>
        <v/>
      </c>
    </row>
    <row r="145" spans="1:8" x14ac:dyDescent="0.25">
      <c r="A145" s="10"/>
      <c r="B145" s="11"/>
      <c r="C145" s="11"/>
      <c r="D145" s="11"/>
      <c r="E145" s="11"/>
      <c r="F145" s="10"/>
      <c r="G145" s="2" t="str">
        <f>IF(F145="","",IFERROR(INDEX(Map!$B$2:$B$41,MATCH(F145,Map!$A$2:$A$41,0)),"UNKNOWN CODE"))</f>
        <v/>
      </c>
      <c r="H145" s="2" t="str">
        <f>IF(F145="","",F145&amp;"#"&amp;COUNTIF($F$6:F145,F145))</f>
        <v/>
      </c>
    </row>
    <row r="146" spans="1:8" x14ac:dyDescent="0.25">
      <c r="A146" s="10"/>
      <c r="B146" s="11"/>
      <c r="C146" s="11"/>
      <c r="D146" s="11"/>
      <c r="E146" s="11"/>
      <c r="F146" s="10"/>
      <c r="G146" s="2" t="str">
        <f>IF(F146="","",IFERROR(INDEX(Map!$B$2:$B$41,MATCH(F146,Map!$A$2:$A$41,0)),"UNKNOWN CODE"))</f>
        <v/>
      </c>
      <c r="H146" s="2" t="str">
        <f>IF(F146="","",F146&amp;"#"&amp;COUNTIF($F$6:F146,F146))</f>
        <v/>
      </c>
    </row>
    <row r="147" spans="1:8" x14ac:dyDescent="0.25">
      <c r="A147" s="10"/>
      <c r="B147" s="11"/>
      <c r="C147" s="11"/>
      <c r="D147" s="11"/>
      <c r="E147" s="11"/>
      <c r="F147" s="10"/>
      <c r="G147" s="2" t="str">
        <f>IF(F147="","",IFERROR(INDEX(Map!$B$2:$B$41,MATCH(F147,Map!$A$2:$A$41,0)),"UNKNOWN CODE"))</f>
        <v/>
      </c>
      <c r="H147" s="2" t="str">
        <f>IF(F147="","",F147&amp;"#"&amp;COUNTIF($F$6:F147,F147))</f>
        <v/>
      </c>
    </row>
    <row r="148" spans="1:8" x14ac:dyDescent="0.25">
      <c r="A148" s="10"/>
      <c r="B148" s="11"/>
      <c r="C148" s="11"/>
      <c r="D148" s="11"/>
      <c r="E148" s="11"/>
      <c r="F148" s="10"/>
      <c r="G148" s="2" t="str">
        <f>IF(F148="","",IFERROR(INDEX(Map!$B$2:$B$41,MATCH(F148,Map!$A$2:$A$41,0)),"UNKNOWN CODE"))</f>
        <v/>
      </c>
      <c r="H148" s="2" t="str">
        <f>IF(F148="","",F148&amp;"#"&amp;COUNTIF($F$6:F148,F148))</f>
        <v/>
      </c>
    </row>
    <row r="149" spans="1:8" x14ac:dyDescent="0.25">
      <c r="A149" s="10"/>
      <c r="B149" s="11"/>
      <c r="C149" s="11"/>
      <c r="D149" s="11"/>
      <c r="E149" s="11"/>
      <c r="F149" s="10"/>
      <c r="G149" s="2" t="str">
        <f>IF(F149="","",IFERROR(INDEX(Map!$B$2:$B$41,MATCH(F149,Map!$A$2:$A$41,0)),"UNKNOWN CODE"))</f>
        <v/>
      </c>
      <c r="H149" s="2" t="str">
        <f>IF(F149="","",F149&amp;"#"&amp;COUNTIF($F$6:F149,F149))</f>
        <v/>
      </c>
    </row>
    <row r="150" spans="1:8" x14ac:dyDescent="0.25">
      <c r="A150" s="10"/>
      <c r="B150" s="11"/>
      <c r="C150" s="11"/>
      <c r="D150" s="11"/>
      <c r="E150" s="11"/>
      <c r="F150" s="10"/>
      <c r="G150" s="2" t="str">
        <f>IF(F150="","",IFERROR(INDEX(Map!$B$2:$B$41,MATCH(F150,Map!$A$2:$A$41,0)),"UNKNOWN CODE"))</f>
        <v/>
      </c>
      <c r="H150" s="2" t="str">
        <f>IF(F150="","",F150&amp;"#"&amp;COUNTIF($F$6:F150,F150))</f>
        <v/>
      </c>
    </row>
    <row r="151" spans="1:8" x14ac:dyDescent="0.25">
      <c r="A151" s="10"/>
      <c r="B151" s="11"/>
      <c r="C151" s="11"/>
      <c r="D151" s="11"/>
      <c r="E151" s="11"/>
      <c r="F151" s="10"/>
      <c r="G151" s="2" t="str">
        <f>IF(F151="","",IFERROR(INDEX(Map!$B$2:$B$41,MATCH(F151,Map!$A$2:$A$41,0)),"UNKNOWN CODE"))</f>
        <v/>
      </c>
      <c r="H151" s="2" t="str">
        <f>IF(F151="","",F151&amp;"#"&amp;COUNTIF($F$6:F151,F151))</f>
        <v/>
      </c>
    </row>
    <row r="152" spans="1:8" x14ac:dyDescent="0.25">
      <c r="A152" s="10"/>
      <c r="B152" s="11"/>
      <c r="C152" s="11"/>
      <c r="D152" s="11"/>
      <c r="E152" s="11"/>
      <c r="F152" s="10"/>
      <c r="G152" s="2" t="str">
        <f>IF(F152="","",IFERROR(INDEX(Map!$B$2:$B$41,MATCH(F152,Map!$A$2:$A$41,0)),"UNKNOWN CODE"))</f>
        <v/>
      </c>
      <c r="H152" s="2" t="str">
        <f>IF(F152="","",F152&amp;"#"&amp;COUNTIF($F$6:F152,F152))</f>
        <v/>
      </c>
    </row>
    <row r="153" spans="1:8" x14ac:dyDescent="0.25">
      <c r="A153" s="10"/>
      <c r="B153" s="11"/>
      <c r="C153" s="11"/>
      <c r="D153" s="11"/>
      <c r="E153" s="11"/>
      <c r="F153" s="10"/>
      <c r="G153" s="2" t="str">
        <f>IF(F153="","",IFERROR(INDEX(Map!$B$2:$B$41,MATCH(F153,Map!$A$2:$A$41,0)),"UNKNOWN CODE"))</f>
        <v/>
      </c>
      <c r="H153" s="2" t="str">
        <f>IF(F153="","",F153&amp;"#"&amp;COUNTIF($F$6:F153,F153))</f>
        <v/>
      </c>
    </row>
    <row r="154" spans="1:8" x14ac:dyDescent="0.25">
      <c r="A154" s="10"/>
      <c r="B154" s="11"/>
      <c r="C154" s="11"/>
      <c r="D154" s="11"/>
      <c r="E154" s="11"/>
      <c r="F154" s="10"/>
      <c r="G154" s="2" t="str">
        <f>IF(F154="","",IFERROR(INDEX(Map!$B$2:$B$41,MATCH(F154,Map!$A$2:$A$41,0)),"UNKNOWN CODE"))</f>
        <v/>
      </c>
      <c r="H154" s="2" t="str">
        <f>IF(F154="","",F154&amp;"#"&amp;COUNTIF($F$6:F154,F154))</f>
        <v/>
      </c>
    </row>
    <row r="155" spans="1:8" x14ac:dyDescent="0.25">
      <c r="A155" s="10"/>
      <c r="B155" s="11"/>
      <c r="C155" s="11"/>
      <c r="D155" s="11"/>
      <c r="E155" s="11"/>
      <c r="F155" s="10"/>
      <c r="G155" s="2" t="str">
        <f>IF(F155="","",IFERROR(INDEX(Map!$B$2:$B$41,MATCH(F155,Map!$A$2:$A$41,0)),"UNKNOWN CODE"))</f>
        <v/>
      </c>
      <c r="H155" s="2" t="str">
        <f>IF(F155="","",F155&amp;"#"&amp;COUNTIF($F$6:F155,F155))</f>
        <v/>
      </c>
    </row>
    <row r="156" spans="1:8" x14ac:dyDescent="0.25">
      <c r="A156" s="10"/>
      <c r="B156" s="11"/>
      <c r="C156" s="11"/>
      <c r="D156" s="11"/>
      <c r="E156" s="11"/>
      <c r="F156" s="10"/>
      <c r="G156" s="2" t="str">
        <f>IF(F156="","",IFERROR(INDEX(Map!$B$2:$B$41,MATCH(F156,Map!$A$2:$A$41,0)),"UNKNOWN CODE"))</f>
        <v/>
      </c>
      <c r="H156" s="2" t="str">
        <f>IF(F156="","",F156&amp;"#"&amp;COUNTIF($F$6:F156,F156))</f>
        <v/>
      </c>
    </row>
    <row r="157" spans="1:8" x14ac:dyDescent="0.25">
      <c r="A157" s="10"/>
      <c r="B157" s="11"/>
      <c r="C157" s="11"/>
      <c r="D157" s="11"/>
      <c r="E157" s="11"/>
      <c r="F157" s="10"/>
      <c r="G157" s="2" t="str">
        <f>IF(F157="","",IFERROR(INDEX(Map!$B$2:$B$41,MATCH(F157,Map!$A$2:$A$41,0)),"UNKNOWN CODE"))</f>
        <v/>
      </c>
      <c r="H157" s="2" t="str">
        <f>IF(F157="","",F157&amp;"#"&amp;COUNTIF($F$6:F157,F157))</f>
        <v/>
      </c>
    </row>
    <row r="158" spans="1:8" x14ac:dyDescent="0.25">
      <c r="A158" s="10"/>
      <c r="B158" s="11"/>
      <c r="C158" s="11"/>
      <c r="D158" s="11"/>
      <c r="E158" s="11"/>
      <c r="F158" s="10"/>
      <c r="G158" s="2" t="str">
        <f>IF(F158="","",IFERROR(INDEX(Map!$B$2:$B$41,MATCH(F158,Map!$A$2:$A$41,0)),"UNKNOWN CODE"))</f>
        <v/>
      </c>
      <c r="H158" s="2" t="str">
        <f>IF(F158="","",F158&amp;"#"&amp;COUNTIF($F$6:F158,F158))</f>
        <v/>
      </c>
    </row>
    <row r="159" spans="1:8" x14ac:dyDescent="0.25">
      <c r="A159" s="10"/>
      <c r="B159" s="11"/>
      <c r="C159" s="11"/>
      <c r="D159" s="11"/>
      <c r="E159" s="11"/>
      <c r="F159" s="10"/>
      <c r="G159" s="2" t="str">
        <f>IF(F159="","",IFERROR(INDEX(Map!$B$2:$B$41,MATCH(F159,Map!$A$2:$A$41,0)),"UNKNOWN CODE"))</f>
        <v/>
      </c>
      <c r="H159" s="2" t="str">
        <f>IF(F159="","",F159&amp;"#"&amp;COUNTIF($F$6:F159,F159))</f>
        <v/>
      </c>
    </row>
    <row r="160" spans="1:8" x14ac:dyDescent="0.25">
      <c r="A160" s="10"/>
      <c r="B160" s="11"/>
      <c r="C160" s="11"/>
      <c r="D160" s="11"/>
      <c r="E160" s="11"/>
      <c r="F160" s="10"/>
      <c r="G160" s="2" t="str">
        <f>IF(F160="","",IFERROR(INDEX(Map!$B$2:$B$41,MATCH(F160,Map!$A$2:$A$41,0)),"UNKNOWN CODE"))</f>
        <v/>
      </c>
      <c r="H160" s="2" t="str">
        <f>IF(F160="","",F160&amp;"#"&amp;COUNTIF($F$6:F160,F160))</f>
        <v/>
      </c>
    </row>
    <row r="161" spans="1:8" x14ac:dyDescent="0.25">
      <c r="A161" s="10"/>
      <c r="B161" s="11"/>
      <c r="C161" s="11"/>
      <c r="D161" s="11"/>
      <c r="E161" s="11"/>
      <c r="F161" s="10"/>
      <c r="G161" s="2" t="str">
        <f>IF(F161="","",IFERROR(INDEX(Map!$B$2:$B$41,MATCH(F161,Map!$A$2:$A$41,0)),"UNKNOWN CODE"))</f>
        <v/>
      </c>
      <c r="H161" s="2" t="str">
        <f>IF(F161="","",F161&amp;"#"&amp;COUNTIF($F$6:F161,F161))</f>
        <v/>
      </c>
    </row>
    <row r="162" spans="1:8" x14ac:dyDescent="0.25">
      <c r="A162" s="10"/>
      <c r="B162" s="11"/>
      <c r="C162" s="11"/>
      <c r="D162" s="11"/>
      <c r="E162" s="11"/>
      <c r="F162" s="10"/>
      <c r="G162" s="2" t="str">
        <f>IF(F162="","",IFERROR(INDEX(Map!$B$2:$B$41,MATCH(F162,Map!$A$2:$A$41,0)),"UNKNOWN CODE"))</f>
        <v/>
      </c>
      <c r="H162" s="2" t="str">
        <f>IF(F162="","",F162&amp;"#"&amp;COUNTIF($F$6:F162,F162))</f>
        <v/>
      </c>
    </row>
    <row r="163" spans="1:8" x14ac:dyDescent="0.25">
      <c r="A163" s="10"/>
      <c r="B163" s="11"/>
      <c r="C163" s="11"/>
      <c r="D163" s="11"/>
      <c r="E163" s="11"/>
      <c r="F163" s="10"/>
      <c r="G163" s="2" t="str">
        <f>IF(F163="","",IFERROR(INDEX(Map!$B$2:$B$41,MATCH(F163,Map!$A$2:$A$41,0)),"UNKNOWN CODE"))</f>
        <v/>
      </c>
      <c r="H163" s="2" t="str">
        <f>IF(F163="","",F163&amp;"#"&amp;COUNTIF($F$6:F163,F163))</f>
        <v/>
      </c>
    </row>
    <row r="164" spans="1:8" x14ac:dyDescent="0.25">
      <c r="A164" s="10"/>
      <c r="B164" s="11"/>
      <c r="C164" s="11"/>
      <c r="D164" s="11"/>
      <c r="E164" s="11"/>
      <c r="F164" s="10"/>
      <c r="G164" s="2" t="str">
        <f>IF(F164="","",IFERROR(INDEX(Map!$B$2:$B$41,MATCH(F164,Map!$A$2:$A$41,0)),"UNKNOWN CODE"))</f>
        <v/>
      </c>
      <c r="H164" s="2" t="str">
        <f>IF(F164="","",F164&amp;"#"&amp;COUNTIF($F$6:F164,F164))</f>
        <v/>
      </c>
    </row>
    <row r="165" spans="1:8" x14ac:dyDescent="0.25">
      <c r="A165" s="10"/>
      <c r="B165" s="11"/>
      <c r="C165" s="11"/>
      <c r="D165" s="11"/>
      <c r="E165" s="11"/>
      <c r="F165" s="10"/>
      <c r="G165" s="2" t="str">
        <f>IF(F165="","",IFERROR(INDEX(Map!$B$2:$B$41,MATCH(F165,Map!$A$2:$A$41,0)),"UNKNOWN CODE"))</f>
        <v/>
      </c>
      <c r="H165" s="2" t="str">
        <f>IF(F165="","",F165&amp;"#"&amp;COUNTIF($F$6:F165,F165))</f>
        <v/>
      </c>
    </row>
    <row r="166" spans="1:8" x14ac:dyDescent="0.25">
      <c r="A166" s="10"/>
      <c r="B166" s="11"/>
      <c r="C166" s="11"/>
      <c r="D166" s="11"/>
      <c r="E166" s="11"/>
      <c r="F166" s="10"/>
      <c r="G166" s="2" t="str">
        <f>IF(F166="","",IFERROR(INDEX(Map!$B$2:$B$41,MATCH(F166,Map!$A$2:$A$41,0)),"UNKNOWN CODE"))</f>
        <v/>
      </c>
      <c r="H166" s="2" t="str">
        <f>IF(F166="","",F166&amp;"#"&amp;COUNTIF($F$6:F166,F166))</f>
        <v/>
      </c>
    </row>
    <row r="167" spans="1:8" x14ac:dyDescent="0.25">
      <c r="A167" s="10"/>
      <c r="B167" s="11"/>
      <c r="C167" s="11"/>
      <c r="D167" s="11"/>
      <c r="E167" s="11"/>
      <c r="F167" s="10"/>
      <c r="G167" s="2" t="str">
        <f>IF(F167="","",IFERROR(INDEX(Map!$B$2:$B$41,MATCH(F167,Map!$A$2:$A$41,0)),"UNKNOWN CODE"))</f>
        <v/>
      </c>
      <c r="H167" s="2" t="str">
        <f>IF(F167="","",F167&amp;"#"&amp;COUNTIF($F$6:F167,F167))</f>
        <v/>
      </c>
    </row>
    <row r="168" spans="1:8" x14ac:dyDescent="0.25">
      <c r="A168" s="10"/>
      <c r="B168" s="11"/>
      <c r="C168" s="11"/>
      <c r="D168" s="11"/>
      <c r="E168" s="11"/>
      <c r="F168" s="10"/>
      <c r="G168" s="2" t="str">
        <f>IF(F168="","",IFERROR(INDEX(Map!$B$2:$B$41,MATCH(F168,Map!$A$2:$A$41,0)),"UNKNOWN CODE"))</f>
        <v/>
      </c>
      <c r="H168" s="2" t="str">
        <f>IF(F168="","",F168&amp;"#"&amp;COUNTIF($F$6:F168,F168))</f>
        <v/>
      </c>
    </row>
    <row r="169" spans="1:8" x14ac:dyDescent="0.25">
      <c r="A169" s="10"/>
      <c r="B169" s="11"/>
      <c r="C169" s="11"/>
      <c r="D169" s="11"/>
      <c r="E169" s="11"/>
      <c r="F169" s="10"/>
      <c r="G169" s="2" t="str">
        <f>IF(F169="","",IFERROR(INDEX(Map!$B$2:$B$41,MATCH(F169,Map!$A$2:$A$41,0)),"UNKNOWN CODE"))</f>
        <v/>
      </c>
      <c r="H169" s="2" t="str">
        <f>IF(F169="","",F169&amp;"#"&amp;COUNTIF($F$6:F169,F169))</f>
        <v/>
      </c>
    </row>
    <row r="170" spans="1:8" x14ac:dyDescent="0.25">
      <c r="A170" s="10"/>
      <c r="B170" s="11"/>
      <c r="C170" s="11"/>
      <c r="D170" s="11"/>
      <c r="E170" s="11"/>
      <c r="F170" s="10"/>
      <c r="G170" s="2" t="str">
        <f>IF(F170="","",IFERROR(INDEX(Map!$B$2:$B$41,MATCH(F170,Map!$A$2:$A$41,0)),"UNKNOWN CODE"))</f>
        <v/>
      </c>
      <c r="H170" s="2" t="str">
        <f>IF(F170="","",F170&amp;"#"&amp;COUNTIF($F$6:F170,F170))</f>
        <v/>
      </c>
    </row>
    <row r="171" spans="1:8" x14ac:dyDescent="0.25">
      <c r="A171" s="10"/>
      <c r="B171" s="11"/>
      <c r="C171" s="11"/>
      <c r="D171" s="11"/>
      <c r="E171" s="11"/>
      <c r="F171" s="10"/>
      <c r="G171" s="2" t="str">
        <f>IF(F171="","",IFERROR(INDEX(Map!$B$2:$B$41,MATCH(F171,Map!$A$2:$A$41,0)),"UNKNOWN CODE"))</f>
        <v/>
      </c>
      <c r="H171" s="2" t="str">
        <f>IF(F171="","",F171&amp;"#"&amp;COUNTIF($F$6:F171,F171))</f>
        <v/>
      </c>
    </row>
    <row r="172" spans="1:8" x14ac:dyDescent="0.25">
      <c r="A172" s="10"/>
      <c r="B172" s="11"/>
      <c r="C172" s="11"/>
      <c r="D172" s="11"/>
      <c r="E172" s="11"/>
      <c r="F172" s="10"/>
      <c r="G172" s="2" t="str">
        <f>IF(F172="","",IFERROR(INDEX(Map!$B$2:$B$41,MATCH(F172,Map!$A$2:$A$41,0)),"UNKNOWN CODE"))</f>
        <v/>
      </c>
      <c r="H172" s="2" t="str">
        <f>IF(F172="","",F172&amp;"#"&amp;COUNTIF($F$6:F172,F172))</f>
        <v/>
      </c>
    </row>
    <row r="173" spans="1:8" x14ac:dyDescent="0.25">
      <c r="A173" s="10"/>
      <c r="B173" s="11"/>
      <c r="C173" s="11"/>
      <c r="D173" s="11"/>
      <c r="E173" s="11"/>
      <c r="F173" s="10"/>
      <c r="G173" s="2" t="str">
        <f>IF(F173="","",IFERROR(INDEX(Map!$B$2:$B$41,MATCH(F173,Map!$A$2:$A$41,0)),"UNKNOWN CODE"))</f>
        <v/>
      </c>
      <c r="H173" s="2" t="str">
        <f>IF(F173="","",F173&amp;"#"&amp;COUNTIF($F$6:F173,F173))</f>
        <v/>
      </c>
    </row>
    <row r="174" spans="1:8" x14ac:dyDescent="0.25">
      <c r="A174" s="10"/>
      <c r="B174" s="11"/>
      <c r="C174" s="11"/>
      <c r="D174" s="11"/>
      <c r="E174" s="11"/>
      <c r="F174" s="10"/>
      <c r="G174" s="2" t="str">
        <f>IF(F174="","",IFERROR(INDEX(Map!$B$2:$B$41,MATCH(F174,Map!$A$2:$A$41,0)),"UNKNOWN CODE"))</f>
        <v/>
      </c>
      <c r="H174" s="2" t="str">
        <f>IF(F174="","",F174&amp;"#"&amp;COUNTIF($F$6:F174,F174))</f>
        <v/>
      </c>
    </row>
    <row r="175" spans="1:8" x14ac:dyDescent="0.25">
      <c r="A175" s="10"/>
      <c r="B175" s="11"/>
      <c r="C175" s="11"/>
      <c r="D175" s="11"/>
      <c r="E175" s="11"/>
      <c r="F175" s="10"/>
      <c r="G175" s="2" t="str">
        <f>IF(F175="","",IFERROR(INDEX(Map!$B$2:$B$41,MATCH(F175,Map!$A$2:$A$41,0)),"UNKNOWN CODE"))</f>
        <v/>
      </c>
      <c r="H175" s="2" t="str">
        <f>IF(F175="","",F175&amp;"#"&amp;COUNTIF($F$6:F175,F175))</f>
        <v/>
      </c>
    </row>
    <row r="176" spans="1:8" x14ac:dyDescent="0.25">
      <c r="A176" s="10"/>
      <c r="B176" s="11"/>
      <c r="C176" s="11"/>
      <c r="D176" s="11"/>
      <c r="E176" s="11"/>
      <c r="F176" s="10"/>
      <c r="G176" s="2" t="str">
        <f>IF(F176="","",IFERROR(INDEX(Map!$B$2:$B$41,MATCH(F176,Map!$A$2:$A$41,0)),"UNKNOWN CODE"))</f>
        <v/>
      </c>
      <c r="H176" s="2" t="str">
        <f>IF(F176="","",F176&amp;"#"&amp;COUNTIF($F$6:F176,F176))</f>
        <v/>
      </c>
    </row>
    <row r="177" spans="1:8" x14ac:dyDescent="0.25">
      <c r="A177" s="10"/>
      <c r="B177" s="11"/>
      <c r="C177" s="11"/>
      <c r="D177" s="11"/>
      <c r="E177" s="11"/>
      <c r="F177" s="10"/>
      <c r="G177" s="2" t="str">
        <f>IF(F177="","",IFERROR(INDEX(Map!$B$2:$B$41,MATCH(F177,Map!$A$2:$A$41,0)),"UNKNOWN CODE"))</f>
        <v/>
      </c>
      <c r="H177" s="2" t="str">
        <f>IF(F177="","",F177&amp;"#"&amp;COUNTIF($F$6:F177,F177))</f>
        <v/>
      </c>
    </row>
    <row r="178" spans="1:8" x14ac:dyDescent="0.25">
      <c r="A178" s="10"/>
      <c r="B178" s="11"/>
      <c r="C178" s="11"/>
      <c r="D178" s="11"/>
      <c r="E178" s="11"/>
      <c r="F178" s="10"/>
      <c r="G178" s="2" t="str">
        <f>IF(F178="","",IFERROR(INDEX(Map!$B$2:$B$41,MATCH(F178,Map!$A$2:$A$41,0)),"UNKNOWN CODE"))</f>
        <v/>
      </c>
      <c r="H178" s="2" t="str">
        <f>IF(F178="","",F178&amp;"#"&amp;COUNTIF($F$6:F178,F178))</f>
        <v/>
      </c>
    </row>
    <row r="179" spans="1:8" x14ac:dyDescent="0.25">
      <c r="A179" s="10"/>
      <c r="B179" s="11"/>
      <c r="C179" s="11"/>
      <c r="D179" s="11"/>
      <c r="E179" s="11"/>
      <c r="F179" s="10"/>
      <c r="G179" s="2" t="str">
        <f>IF(F179="","",IFERROR(INDEX(Map!$B$2:$B$41,MATCH(F179,Map!$A$2:$A$41,0)),"UNKNOWN CODE"))</f>
        <v/>
      </c>
      <c r="H179" s="2" t="str">
        <f>IF(F179="","",F179&amp;"#"&amp;COUNTIF($F$6:F179,F179))</f>
        <v/>
      </c>
    </row>
    <row r="180" spans="1:8" x14ac:dyDescent="0.25">
      <c r="A180" s="10"/>
      <c r="B180" s="11"/>
      <c r="C180" s="11"/>
      <c r="D180" s="11"/>
      <c r="E180" s="11"/>
      <c r="F180" s="10"/>
      <c r="G180" s="2" t="str">
        <f>IF(F180="","",IFERROR(INDEX(Map!$B$2:$B$41,MATCH(F180,Map!$A$2:$A$41,0)),"UNKNOWN CODE"))</f>
        <v/>
      </c>
      <c r="H180" s="2" t="str">
        <f>IF(F180="","",F180&amp;"#"&amp;COUNTIF($F$6:F180,F180))</f>
        <v/>
      </c>
    </row>
    <row r="181" spans="1:8" x14ac:dyDescent="0.25">
      <c r="A181" s="10"/>
      <c r="B181" s="11"/>
      <c r="C181" s="11"/>
      <c r="D181" s="11"/>
      <c r="E181" s="11"/>
      <c r="F181" s="10"/>
      <c r="G181" s="2" t="str">
        <f>IF(F181="","",IFERROR(INDEX(Map!$B$2:$B$41,MATCH(F181,Map!$A$2:$A$41,0)),"UNKNOWN CODE"))</f>
        <v/>
      </c>
      <c r="H181" s="2" t="str">
        <f>IF(F181="","",F181&amp;"#"&amp;COUNTIF($F$6:F181,F181))</f>
        <v/>
      </c>
    </row>
    <row r="182" spans="1:8" x14ac:dyDescent="0.25">
      <c r="A182" s="10"/>
      <c r="B182" s="11"/>
      <c r="C182" s="11"/>
      <c r="D182" s="11"/>
      <c r="E182" s="11"/>
      <c r="F182" s="10"/>
      <c r="G182" s="2" t="str">
        <f>IF(F182="","",IFERROR(INDEX(Map!$B$2:$B$41,MATCH(F182,Map!$A$2:$A$41,0)),"UNKNOWN CODE"))</f>
        <v/>
      </c>
      <c r="H182" s="2" t="str">
        <f>IF(F182="","",F182&amp;"#"&amp;COUNTIF($F$6:F182,F182))</f>
        <v/>
      </c>
    </row>
    <row r="183" spans="1:8" x14ac:dyDescent="0.25">
      <c r="A183" s="10"/>
      <c r="B183" s="11"/>
      <c r="C183" s="11"/>
      <c r="D183" s="11"/>
      <c r="E183" s="11"/>
      <c r="F183" s="10"/>
      <c r="G183" s="2" t="str">
        <f>IF(F183="","",IFERROR(INDEX(Map!$B$2:$B$41,MATCH(F183,Map!$A$2:$A$41,0)),"UNKNOWN CODE"))</f>
        <v/>
      </c>
      <c r="H183" s="2" t="str">
        <f>IF(F183="","",F183&amp;"#"&amp;COUNTIF($F$6:F183,F183))</f>
        <v/>
      </c>
    </row>
    <row r="184" spans="1:8" x14ac:dyDescent="0.25">
      <c r="A184" s="10"/>
      <c r="B184" s="11"/>
      <c r="C184" s="11"/>
      <c r="D184" s="11"/>
      <c r="E184" s="11"/>
      <c r="F184" s="10"/>
      <c r="G184" s="2" t="str">
        <f>IF(F184="","",IFERROR(INDEX(Map!$B$2:$B$41,MATCH(F184,Map!$A$2:$A$41,0)),"UNKNOWN CODE"))</f>
        <v/>
      </c>
      <c r="H184" s="2" t="str">
        <f>IF(F184="","",F184&amp;"#"&amp;COUNTIF($F$6:F184,F184))</f>
        <v/>
      </c>
    </row>
    <row r="185" spans="1:8" x14ac:dyDescent="0.25">
      <c r="A185" s="10"/>
      <c r="B185" s="11"/>
      <c r="C185" s="11"/>
      <c r="D185" s="11"/>
      <c r="E185" s="11"/>
      <c r="F185" s="10"/>
      <c r="G185" s="2" t="str">
        <f>IF(F185="","",IFERROR(INDEX(Map!$B$2:$B$41,MATCH(F185,Map!$A$2:$A$41,0)),"UNKNOWN CODE"))</f>
        <v/>
      </c>
      <c r="H185" s="2" t="str">
        <f>IF(F185="","",F185&amp;"#"&amp;COUNTIF($F$6:F185,F185))</f>
        <v/>
      </c>
    </row>
    <row r="186" spans="1:8" x14ac:dyDescent="0.25">
      <c r="A186" s="10"/>
      <c r="B186" s="11"/>
      <c r="C186" s="11"/>
      <c r="D186" s="11"/>
      <c r="E186" s="11"/>
      <c r="F186" s="10"/>
      <c r="G186" s="2" t="str">
        <f>IF(F186="","",IFERROR(INDEX(Map!$B$2:$B$41,MATCH(F186,Map!$A$2:$A$41,0)),"UNKNOWN CODE"))</f>
        <v/>
      </c>
      <c r="H186" s="2" t="str">
        <f>IF(F186="","",F186&amp;"#"&amp;COUNTIF($F$6:F186,F186))</f>
        <v/>
      </c>
    </row>
    <row r="187" spans="1:8" x14ac:dyDescent="0.25">
      <c r="A187" s="10"/>
      <c r="B187" s="11"/>
      <c r="C187" s="11"/>
      <c r="D187" s="11"/>
      <c r="E187" s="11"/>
      <c r="F187" s="10"/>
      <c r="G187" s="2" t="str">
        <f>IF(F187="","",IFERROR(INDEX(Map!$B$2:$B$41,MATCH(F187,Map!$A$2:$A$41,0)),"UNKNOWN CODE"))</f>
        <v/>
      </c>
      <c r="H187" s="2" t="str">
        <f>IF(F187="","",F187&amp;"#"&amp;COUNTIF($F$6:F187,F187))</f>
        <v/>
      </c>
    </row>
    <row r="188" spans="1:8" x14ac:dyDescent="0.25">
      <c r="A188" s="10"/>
      <c r="B188" s="11"/>
      <c r="C188" s="11"/>
      <c r="D188" s="11"/>
      <c r="E188" s="11"/>
      <c r="F188" s="10"/>
      <c r="G188" s="2" t="str">
        <f>IF(F188="","",IFERROR(INDEX(Map!$B$2:$B$41,MATCH(F188,Map!$A$2:$A$41,0)),"UNKNOWN CODE"))</f>
        <v/>
      </c>
      <c r="H188" s="2" t="str">
        <f>IF(F188="","",F188&amp;"#"&amp;COUNTIF($F$6:F188,F188))</f>
        <v/>
      </c>
    </row>
    <row r="189" spans="1:8" x14ac:dyDescent="0.25">
      <c r="A189" s="10"/>
      <c r="B189" s="11"/>
      <c r="C189" s="11"/>
      <c r="D189" s="11"/>
      <c r="E189" s="11"/>
      <c r="F189" s="10"/>
      <c r="G189" s="2" t="str">
        <f>IF(F189="","",IFERROR(INDEX(Map!$B$2:$B$41,MATCH(F189,Map!$A$2:$A$41,0)),"UNKNOWN CODE"))</f>
        <v/>
      </c>
      <c r="H189" s="2" t="str">
        <f>IF(F189="","",F189&amp;"#"&amp;COUNTIF($F$6:F189,F189))</f>
        <v/>
      </c>
    </row>
    <row r="190" spans="1:8" x14ac:dyDescent="0.25">
      <c r="A190" s="10"/>
      <c r="B190" s="11"/>
      <c r="C190" s="11"/>
      <c r="D190" s="11"/>
      <c r="E190" s="11"/>
      <c r="F190" s="10"/>
      <c r="G190" s="2" t="str">
        <f>IF(F190="","",IFERROR(INDEX(Map!$B$2:$B$41,MATCH(F190,Map!$A$2:$A$41,0)),"UNKNOWN CODE"))</f>
        <v/>
      </c>
      <c r="H190" s="2" t="str">
        <f>IF(F190="","",F190&amp;"#"&amp;COUNTIF($F$6:F190,F190))</f>
        <v/>
      </c>
    </row>
    <row r="191" spans="1:8" x14ac:dyDescent="0.25">
      <c r="A191" s="10"/>
      <c r="B191" s="11"/>
      <c r="C191" s="11"/>
      <c r="D191" s="11"/>
      <c r="E191" s="11"/>
      <c r="F191" s="10"/>
      <c r="G191" s="2" t="str">
        <f>IF(F191="","",IFERROR(INDEX(Map!$B$2:$B$41,MATCH(F191,Map!$A$2:$A$41,0)),"UNKNOWN CODE"))</f>
        <v/>
      </c>
      <c r="H191" s="2" t="str">
        <f>IF(F191="","",F191&amp;"#"&amp;COUNTIF($F$6:F191,F191))</f>
        <v/>
      </c>
    </row>
    <row r="192" spans="1:8" x14ac:dyDescent="0.25">
      <c r="A192" s="10"/>
      <c r="B192" s="11"/>
      <c r="C192" s="11"/>
      <c r="D192" s="11"/>
      <c r="E192" s="11"/>
      <c r="F192" s="10"/>
      <c r="G192" s="2" t="str">
        <f>IF(F192="","",IFERROR(INDEX(Map!$B$2:$B$41,MATCH(F192,Map!$A$2:$A$41,0)),"UNKNOWN CODE"))</f>
        <v/>
      </c>
      <c r="H192" s="2" t="str">
        <f>IF(F192="","",F192&amp;"#"&amp;COUNTIF($F$6:F192,F192))</f>
        <v/>
      </c>
    </row>
    <row r="193" spans="1:8" x14ac:dyDescent="0.25">
      <c r="A193" s="10"/>
      <c r="B193" s="11"/>
      <c r="C193" s="11"/>
      <c r="D193" s="11"/>
      <c r="E193" s="11"/>
      <c r="F193" s="10"/>
      <c r="G193" s="2" t="str">
        <f>IF(F193="","",IFERROR(INDEX(Map!$B$2:$B$41,MATCH(F193,Map!$A$2:$A$41,0)),"UNKNOWN CODE"))</f>
        <v/>
      </c>
      <c r="H193" s="2" t="str">
        <f>IF(F193="","",F193&amp;"#"&amp;COUNTIF($F$6:F193,F193))</f>
        <v/>
      </c>
    </row>
    <row r="194" spans="1:8" x14ac:dyDescent="0.25">
      <c r="A194" s="10"/>
      <c r="B194" s="11"/>
      <c r="C194" s="11"/>
      <c r="D194" s="11"/>
      <c r="E194" s="11"/>
      <c r="F194" s="10"/>
      <c r="G194" s="2" t="str">
        <f>IF(F194="","",IFERROR(INDEX(Map!$B$2:$B$41,MATCH(F194,Map!$A$2:$A$41,0)),"UNKNOWN CODE"))</f>
        <v/>
      </c>
      <c r="H194" s="2" t="str">
        <f>IF(F194="","",F194&amp;"#"&amp;COUNTIF($F$6:F194,F194))</f>
        <v/>
      </c>
    </row>
    <row r="195" spans="1:8" x14ac:dyDescent="0.25">
      <c r="A195" s="10"/>
      <c r="B195" s="11"/>
      <c r="C195" s="11"/>
      <c r="D195" s="11"/>
      <c r="E195" s="11"/>
      <c r="F195" s="10"/>
      <c r="G195" s="2" t="str">
        <f>IF(F195="","",IFERROR(INDEX(Map!$B$2:$B$41,MATCH(F195,Map!$A$2:$A$41,0)),"UNKNOWN CODE"))</f>
        <v/>
      </c>
      <c r="H195" s="2" t="str">
        <f>IF(F195="","",F195&amp;"#"&amp;COUNTIF($F$6:F195,F195))</f>
        <v/>
      </c>
    </row>
    <row r="196" spans="1:8" x14ac:dyDescent="0.25">
      <c r="A196" s="10"/>
      <c r="B196" s="11"/>
      <c r="C196" s="11"/>
      <c r="D196" s="11"/>
      <c r="E196" s="11"/>
      <c r="F196" s="10"/>
      <c r="G196" s="2" t="str">
        <f>IF(F196="","",IFERROR(INDEX(Map!$B$2:$B$41,MATCH(F196,Map!$A$2:$A$41,0)),"UNKNOWN CODE"))</f>
        <v/>
      </c>
      <c r="H196" s="2" t="str">
        <f>IF(F196="","",F196&amp;"#"&amp;COUNTIF($F$6:F196,F196))</f>
        <v/>
      </c>
    </row>
    <row r="197" spans="1:8" x14ac:dyDescent="0.25">
      <c r="A197" s="10"/>
      <c r="B197" s="11"/>
      <c r="C197" s="11"/>
      <c r="D197" s="11"/>
      <c r="E197" s="11"/>
      <c r="F197" s="10"/>
      <c r="G197" s="2" t="str">
        <f>IF(F197="","",IFERROR(INDEX(Map!$B$2:$B$41,MATCH(F197,Map!$A$2:$A$41,0)),"UNKNOWN CODE"))</f>
        <v/>
      </c>
      <c r="H197" s="2" t="str">
        <f>IF(F197="","",F197&amp;"#"&amp;COUNTIF($F$6:F197,F197))</f>
        <v/>
      </c>
    </row>
    <row r="198" spans="1:8" x14ac:dyDescent="0.25">
      <c r="A198" s="10"/>
      <c r="B198" s="11"/>
      <c r="C198" s="11"/>
      <c r="D198" s="11"/>
      <c r="E198" s="11"/>
      <c r="F198" s="10"/>
      <c r="G198" s="2" t="str">
        <f>IF(F198="","",IFERROR(INDEX(Map!$B$2:$B$41,MATCH(F198,Map!$A$2:$A$41,0)),"UNKNOWN CODE"))</f>
        <v/>
      </c>
      <c r="H198" s="2" t="str">
        <f>IF(F198="","",F198&amp;"#"&amp;COUNTIF($F$6:F198,F198))</f>
        <v/>
      </c>
    </row>
    <row r="199" spans="1:8" x14ac:dyDescent="0.25">
      <c r="A199" s="10"/>
      <c r="B199" s="11"/>
      <c r="C199" s="11"/>
      <c r="D199" s="11"/>
      <c r="E199" s="11"/>
      <c r="F199" s="10"/>
      <c r="G199" s="2" t="str">
        <f>IF(F199="","",IFERROR(INDEX(Map!$B$2:$B$41,MATCH(F199,Map!$A$2:$A$41,0)),"UNKNOWN CODE"))</f>
        <v/>
      </c>
      <c r="H199" s="2" t="str">
        <f>IF(F199="","",F199&amp;"#"&amp;COUNTIF($F$6:F199,F199))</f>
        <v/>
      </c>
    </row>
    <row r="200" spans="1:8" x14ac:dyDescent="0.25">
      <c r="A200" s="10"/>
      <c r="B200" s="11"/>
      <c r="C200" s="11"/>
      <c r="D200" s="11"/>
      <c r="E200" s="11"/>
      <c r="F200" s="10"/>
      <c r="G200" s="2" t="str">
        <f>IF(F200="","",IFERROR(INDEX(Map!$B$2:$B$41,MATCH(F200,Map!$A$2:$A$41,0)),"UNKNOWN CODE"))</f>
        <v/>
      </c>
      <c r="H200" s="2" t="str">
        <f>IF(F200="","",F200&amp;"#"&amp;COUNTIF($F$6:F200,F200))</f>
        <v/>
      </c>
    </row>
    <row r="201" spans="1:8" x14ac:dyDescent="0.25">
      <c r="A201" s="10"/>
      <c r="B201" s="11"/>
      <c r="C201" s="11"/>
      <c r="D201" s="11"/>
      <c r="E201" s="11"/>
      <c r="F201" s="10"/>
      <c r="G201" s="2" t="str">
        <f>IF(F201="","",IFERROR(INDEX(Map!$B$2:$B$41,MATCH(F201,Map!$A$2:$A$41,0)),"UNKNOWN CODE"))</f>
        <v/>
      </c>
      <c r="H201" s="2" t="str">
        <f>IF(F201="","",F201&amp;"#"&amp;COUNTIF($F$6:F201,F201))</f>
        <v/>
      </c>
    </row>
    <row r="202" spans="1:8" x14ac:dyDescent="0.25">
      <c r="A202" s="10"/>
      <c r="B202" s="11"/>
      <c r="C202" s="11"/>
      <c r="D202" s="11"/>
      <c r="E202" s="11"/>
      <c r="F202" s="10"/>
      <c r="G202" s="2" t="str">
        <f>IF(F202="","",IFERROR(INDEX(Map!$B$2:$B$41,MATCH(F202,Map!$A$2:$A$41,0)),"UNKNOWN CODE"))</f>
        <v/>
      </c>
      <c r="H202" s="2" t="str">
        <f>IF(F202="","",F202&amp;"#"&amp;COUNTIF($F$6:F202,F202))</f>
        <v/>
      </c>
    </row>
    <row r="203" spans="1:8" x14ac:dyDescent="0.25">
      <c r="A203" s="10"/>
      <c r="B203" s="11"/>
      <c r="C203" s="11"/>
      <c r="D203" s="11"/>
      <c r="E203" s="11"/>
      <c r="F203" s="10"/>
      <c r="G203" s="2" t="str">
        <f>IF(F203="","",IFERROR(INDEX(Map!$B$2:$B$41,MATCH(F203,Map!$A$2:$A$41,0)),"UNKNOWN CODE"))</f>
        <v/>
      </c>
      <c r="H203" s="2" t="str">
        <f>IF(F203="","",F203&amp;"#"&amp;COUNTIF($F$6:F203,F203))</f>
        <v/>
      </c>
    </row>
    <row r="204" spans="1:8" x14ac:dyDescent="0.25">
      <c r="A204" s="10"/>
      <c r="B204" s="11"/>
      <c r="C204" s="11"/>
      <c r="D204" s="11"/>
      <c r="E204" s="11"/>
      <c r="F204" s="10"/>
      <c r="G204" s="2" t="str">
        <f>IF(F204="","",IFERROR(INDEX(Map!$B$2:$B$41,MATCH(F204,Map!$A$2:$A$41,0)),"UNKNOWN CODE"))</f>
        <v/>
      </c>
      <c r="H204" s="2" t="str">
        <f>IF(F204="","",F204&amp;"#"&amp;COUNTIF($F$6:F204,F204))</f>
        <v/>
      </c>
    </row>
    <row r="205" spans="1:8" x14ac:dyDescent="0.25">
      <c r="A205" s="10"/>
      <c r="B205" s="11"/>
      <c r="C205" s="11"/>
      <c r="D205" s="11"/>
      <c r="E205" s="11"/>
      <c r="F205" s="10"/>
      <c r="G205" s="2" t="str">
        <f>IF(F205="","",IFERROR(INDEX(Map!$B$2:$B$41,MATCH(F205,Map!$A$2:$A$41,0)),"UNKNOWN CODE"))</f>
        <v/>
      </c>
      <c r="H205" s="2" t="str">
        <f>IF(F205="","",F205&amp;"#"&amp;COUNTIF($F$6:F205,F205))</f>
        <v/>
      </c>
    </row>
    <row r="206" spans="1:8" x14ac:dyDescent="0.25">
      <c r="A206" s="10"/>
      <c r="B206" s="11"/>
      <c r="C206" s="11"/>
      <c r="D206" s="11"/>
      <c r="E206" s="11"/>
      <c r="F206" s="10"/>
      <c r="G206" s="2" t="str">
        <f>IF(F206="","",IFERROR(INDEX(Map!$B$2:$B$41,MATCH(F206,Map!$A$2:$A$41,0)),"UNKNOWN CODE"))</f>
        <v/>
      </c>
      <c r="H206" s="2" t="str">
        <f>IF(F206="","",F206&amp;"#"&amp;COUNTIF($F$6:F206,F206))</f>
        <v/>
      </c>
    </row>
    <row r="207" spans="1:8" x14ac:dyDescent="0.25">
      <c r="A207" s="10"/>
      <c r="B207" s="11"/>
      <c r="C207" s="11"/>
      <c r="D207" s="11"/>
      <c r="E207" s="11"/>
      <c r="F207" s="10"/>
      <c r="G207" s="2" t="str">
        <f>IF(F207="","",IFERROR(INDEX(Map!$B$2:$B$41,MATCH(F207,Map!$A$2:$A$41,0)),"UNKNOWN CODE"))</f>
        <v/>
      </c>
      <c r="H207" s="2" t="str">
        <f>IF(F207="","",F207&amp;"#"&amp;COUNTIF($F$6:F207,F207))</f>
        <v/>
      </c>
    </row>
    <row r="208" spans="1:8" x14ac:dyDescent="0.25">
      <c r="A208" s="10"/>
      <c r="B208" s="11"/>
      <c r="C208" s="11"/>
      <c r="D208" s="11"/>
      <c r="E208" s="11"/>
      <c r="F208" s="10"/>
      <c r="G208" s="2" t="str">
        <f>IF(F208="","",IFERROR(INDEX(Map!$B$2:$B$41,MATCH(F208,Map!$A$2:$A$41,0)),"UNKNOWN CODE"))</f>
        <v/>
      </c>
      <c r="H208" s="2" t="str">
        <f>IF(F208="","",F208&amp;"#"&amp;COUNTIF($F$6:F208,F208))</f>
        <v/>
      </c>
    </row>
    <row r="209" spans="1:8" x14ac:dyDescent="0.25">
      <c r="A209" s="10"/>
      <c r="B209" s="11"/>
      <c r="C209" s="11"/>
      <c r="D209" s="11"/>
      <c r="E209" s="11"/>
      <c r="F209" s="10"/>
      <c r="G209" s="2" t="str">
        <f>IF(F209="","",IFERROR(INDEX(Map!$B$2:$B$41,MATCH(F209,Map!$A$2:$A$41,0)),"UNKNOWN CODE"))</f>
        <v/>
      </c>
      <c r="H209" s="2" t="str">
        <f>IF(F209="","",F209&amp;"#"&amp;COUNTIF($F$6:F209,F209))</f>
        <v/>
      </c>
    </row>
    <row r="210" spans="1:8" x14ac:dyDescent="0.25">
      <c r="A210" s="10"/>
      <c r="B210" s="11"/>
      <c r="C210" s="11"/>
      <c r="D210" s="11"/>
      <c r="E210" s="11"/>
      <c r="F210" s="10"/>
      <c r="G210" s="2" t="str">
        <f>IF(F210="","",IFERROR(INDEX(Map!$B$2:$B$41,MATCH(F210,Map!$A$2:$A$41,0)),"UNKNOWN CODE"))</f>
        <v/>
      </c>
      <c r="H210" s="2" t="str">
        <f>IF(F210="","",F210&amp;"#"&amp;COUNTIF($F$6:F210,F210))</f>
        <v/>
      </c>
    </row>
    <row r="211" spans="1:8" x14ac:dyDescent="0.25">
      <c r="A211" s="10"/>
      <c r="B211" s="11"/>
      <c r="C211" s="11"/>
      <c r="D211" s="11"/>
      <c r="E211" s="11"/>
      <c r="F211" s="10"/>
      <c r="G211" s="2" t="str">
        <f>IF(F211="","",IFERROR(INDEX(Map!$B$2:$B$41,MATCH(F211,Map!$A$2:$A$41,0)),"UNKNOWN CODE"))</f>
        <v/>
      </c>
      <c r="H211" s="2" t="str">
        <f>IF(F211="","",F211&amp;"#"&amp;COUNTIF($F$6:F211,F211))</f>
        <v/>
      </c>
    </row>
    <row r="212" spans="1:8" x14ac:dyDescent="0.25">
      <c r="A212" s="10"/>
      <c r="B212" s="11"/>
      <c r="C212" s="11"/>
      <c r="D212" s="11"/>
      <c r="E212" s="11"/>
      <c r="F212" s="10"/>
      <c r="G212" s="2" t="str">
        <f>IF(F212="","",IFERROR(INDEX(Map!$B$2:$B$41,MATCH(F212,Map!$A$2:$A$41,0)),"UNKNOWN CODE"))</f>
        <v/>
      </c>
      <c r="H212" s="2" t="str">
        <f>IF(F212="","",F212&amp;"#"&amp;COUNTIF($F$6:F212,F212))</f>
        <v/>
      </c>
    </row>
    <row r="213" spans="1:8" x14ac:dyDescent="0.25">
      <c r="A213" s="10"/>
      <c r="B213" s="11"/>
      <c r="C213" s="11"/>
      <c r="D213" s="11"/>
      <c r="E213" s="11"/>
      <c r="F213" s="10"/>
      <c r="G213" s="2" t="str">
        <f>IF(F213="","",IFERROR(INDEX(Map!$B$2:$B$41,MATCH(F213,Map!$A$2:$A$41,0)),"UNKNOWN CODE"))</f>
        <v/>
      </c>
      <c r="H213" s="2" t="str">
        <f>IF(F213="","",F213&amp;"#"&amp;COUNTIF($F$6:F213,F213))</f>
        <v/>
      </c>
    </row>
    <row r="214" spans="1:8" x14ac:dyDescent="0.25">
      <c r="A214" s="10"/>
      <c r="B214" s="11"/>
      <c r="C214" s="11"/>
      <c r="D214" s="11"/>
      <c r="E214" s="11"/>
      <c r="F214" s="10"/>
      <c r="G214" s="2" t="str">
        <f>IF(F214="","",IFERROR(INDEX(Map!$B$2:$B$41,MATCH(F214,Map!$A$2:$A$41,0)),"UNKNOWN CODE"))</f>
        <v/>
      </c>
      <c r="H214" s="2" t="str">
        <f>IF(F214="","",F214&amp;"#"&amp;COUNTIF($F$6:F214,F214))</f>
        <v/>
      </c>
    </row>
    <row r="215" spans="1:8" x14ac:dyDescent="0.25">
      <c r="A215" s="10"/>
      <c r="B215" s="11"/>
      <c r="C215" s="11"/>
      <c r="D215" s="11"/>
      <c r="E215" s="11"/>
      <c r="F215" s="10"/>
      <c r="G215" s="2" t="str">
        <f>IF(F215="","",IFERROR(INDEX(Map!$B$2:$B$41,MATCH(F215,Map!$A$2:$A$41,0)),"UNKNOWN CODE"))</f>
        <v/>
      </c>
      <c r="H215" s="2" t="str">
        <f>IF(F215="","",F215&amp;"#"&amp;COUNTIF($F$6:F215,F215))</f>
        <v/>
      </c>
    </row>
    <row r="216" spans="1:8" x14ac:dyDescent="0.25">
      <c r="A216" s="10"/>
      <c r="B216" s="11"/>
      <c r="C216" s="11"/>
      <c r="D216" s="11"/>
      <c r="E216" s="11"/>
      <c r="F216" s="10"/>
      <c r="G216" s="2" t="str">
        <f>IF(F216="","",IFERROR(INDEX(Map!$B$2:$B$41,MATCH(F216,Map!$A$2:$A$41,0)),"UNKNOWN CODE"))</f>
        <v/>
      </c>
      <c r="H216" s="2" t="str">
        <f>IF(F216="","",F216&amp;"#"&amp;COUNTIF($F$6:F216,F216))</f>
        <v/>
      </c>
    </row>
    <row r="217" spans="1:8" x14ac:dyDescent="0.25">
      <c r="A217" s="10"/>
      <c r="B217" s="11"/>
      <c r="C217" s="11"/>
      <c r="D217" s="11"/>
      <c r="E217" s="11"/>
      <c r="F217" s="10"/>
      <c r="G217" s="2" t="str">
        <f>IF(F217="","",IFERROR(INDEX(Map!$B$2:$B$41,MATCH(F217,Map!$A$2:$A$41,0)),"UNKNOWN CODE"))</f>
        <v/>
      </c>
      <c r="H217" s="2" t="str">
        <f>IF(F217="","",F217&amp;"#"&amp;COUNTIF($F$6:F217,F217))</f>
        <v/>
      </c>
    </row>
    <row r="218" spans="1:8" x14ac:dyDescent="0.25">
      <c r="A218" s="10"/>
      <c r="B218" s="11"/>
      <c r="C218" s="11"/>
      <c r="D218" s="11"/>
      <c r="E218" s="11"/>
      <c r="F218" s="10"/>
      <c r="G218" s="2" t="str">
        <f>IF(F218="","",IFERROR(INDEX(Map!$B$2:$B$41,MATCH(F218,Map!$A$2:$A$41,0)),"UNKNOWN CODE"))</f>
        <v/>
      </c>
      <c r="H218" s="2" t="str">
        <f>IF(F218="","",F218&amp;"#"&amp;COUNTIF($F$6:F218,F218))</f>
        <v/>
      </c>
    </row>
    <row r="219" spans="1:8" x14ac:dyDescent="0.25">
      <c r="A219" s="10"/>
      <c r="B219" s="11"/>
      <c r="C219" s="11"/>
      <c r="D219" s="11"/>
      <c r="E219" s="11"/>
      <c r="F219" s="10"/>
      <c r="G219" s="2" t="str">
        <f>IF(F219="","",IFERROR(INDEX(Map!$B$2:$B$41,MATCH(F219,Map!$A$2:$A$41,0)),"UNKNOWN CODE"))</f>
        <v/>
      </c>
      <c r="H219" s="2" t="str">
        <f>IF(F219="","",F219&amp;"#"&amp;COUNTIF($F$6:F219,F219))</f>
        <v/>
      </c>
    </row>
    <row r="220" spans="1:8" x14ac:dyDescent="0.25">
      <c r="A220" s="10"/>
      <c r="B220" s="11"/>
      <c r="C220" s="11"/>
      <c r="D220" s="11"/>
      <c r="E220" s="11"/>
      <c r="F220" s="10"/>
      <c r="G220" s="2" t="str">
        <f>IF(F220="","",IFERROR(INDEX(Map!$B$2:$B$41,MATCH(F220,Map!$A$2:$A$41,0)),"UNKNOWN CODE"))</f>
        <v/>
      </c>
      <c r="H220" s="2" t="str">
        <f>IF(F220="","",F220&amp;"#"&amp;COUNTIF($F$6:F220,F220))</f>
        <v/>
      </c>
    </row>
    <row r="221" spans="1:8" x14ac:dyDescent="0.25">
      <c r="A221" s="10"/>
      <c r="B221" s="11"/>
      <c r="C221" s="11"/>
      <c r="D221" s="11"/>
      <c r="E221" s="11"/>
      <c r="F221" s="10"/>
      <c r="G221" s="2" t="str">
        <f>IF(F221="","",IFERROR(INDEX(Map!$B$2:$B$41,MATCH(F221,Map!$A$2:$A$41,0)),"UNKNOWN CODE"))</f>
        <v/>
      </c>
      <c r="H221" s="2" t="str">
        <f>IF(F221="","",F221&amp;"#"&amp;COUNTIF($F$6:F221,F221))</f>
        <v/>
      </c>
    </row>
    <row r="222" spans="1:8" x14ac:dyDescent="0.25">
      <c r="A222" s="10"/>
      <c r="B222" s="11"/>
      <c r="C222" s="11"/>
      <c r="D222" s="11"/>
      <c r="E222" s="11"/>
      <c r="F222" s="10"/>
      <c r="G222" s="2" t="str">
        <f>IF(F222="","",IFERROR(INDEX(Map!$B$2:$B$41,MATCH(F222,Map!$A$2:$A$41,0)),"UNKNOWN CODE"))</f>
        <v/>
      </c>
      <c r="H222" s="2" t="str">
        <f>IF(F222="","",F222&amp;"#"&amp;COUNTIF($F$6:F222,F222))</f>
        <v/>
      </c>
    </row>
    <row r="223" spans="1:8" x14ac:dyDescent="0.25">
      <c r="A223" s="10"/>
      <c r="B223" s="11"/>
      <c r="C223" s="11"/>
      <c r="D223" s="11"/>
      <c r="E223" s="11"/>
      <c r="F223" s="10"/>
      <c r="G223" s="2" t="str">
        <f>IF(F223="","",IFERROR(INDEX(Map!$B$2:$B$41,MATCH(F223,Map!$A$2:$A$41,0)),"UNKNOWN CODE"))</f>
        <v/>
      </c>
      <c r="H223" s="2" t="str">
        <f>IF(F223="","",F223&amp;"#"&amp;COUNTIF($F$6:F223,F223))</f>
        <v/>
      </c>
    </row>
    <row r="224" spans="1:8" x14ac:dyDescent="0.25">
      <c r="A224" s="10"/>
      <c r="B224" s="11"/>
      <c r="C224" s="11"/>
      <c r="D224" s="11"/>
      <c r="E224" s="11"/>
      <c r="F224" s="10"/>
      <c r="G224" s="2" t="str">
        <f>IF(F224="","",IFERROR(INDEX(Map!$B$2:$B$41,MATCH(F224,Map!$A$2:$A$41,0)),"UNKNOWN CODE"))</f>
        <v/>
      </c>
      <c r="H224" s="2" t="str">
        <f>IF(F224="","",F224&amp;"#"&amp;COUNTIF($F$6:F224,F224))</f>
        <v/>
      </c>
    </row>
    <row r="225" spans="1:8" x14ac:dyDescent="0.25">
      <c r="A225" s="10"/>
      <c r="B225" s="11"/>
      <c r="C225" s="11"/>
      <c r="D225" s="11"/>
      <c r="E225" s="11"/>
      <c r="F225" s="10"/>
      <c r="G225" s="2" t="str">
        <f>IF(F225="","",IFERROR(INDEX(Map!$B$2:$B$41,MATCH(F225,Map!$A$2:$A$41,0)),"UNKNOWN CODE"))</f>
        <v/>
      </c>
      <c r="H225" s="2" t="str">
        <f>IF(F225="","",F225&amp;"#"&amp;COUNTIF($F$6:F225,F225))</f>
        <v/>
      </c>
    </row>
    <row r="227" spans="1:8" x14ac:dyDescent="0.25">
      <c r="A227" s="7" t="s">
        <v>194</v>
      </c>
      <c r="B227" s="12">
        <f>SUM(B6:B225)-SUM(C6:C225)</f>
        <v>0</v>
      </c>
      <c r="D227" s="12">
        <f>SUM(D6:D225)-SUM(E6:E225)</f>
        <v>0</v>
      </c>
    </row>
    <row r="228" spans="1:8" x14ac:dyDescent="0.25">
      <c r="A228" s="7" t="s">
        <v>195</v>
      </c>
      <c r="B228" s="13">
        <f>SUMPRODUCT(((ABS(B6:B225)+ABS(C6:C225)+ABS(D6:D225)+ABS(E6:E225))&gt;0)*(F6:F225=""))</f>
        <v>0</v>
      </c>
    </row>
  </sheetData>
  <pageMargins left="0.75" right="0.75" top="1" bottom="1"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
        <x14:dataValidation type="list" allowBlank="1">
          <x14:formula1>
            <xm:f>Map!$A$2:$A$41</xm:f>
          </x14:formula1>
          <x14:formula2>
            <xm:f>0</xm:f>
          </x14:formula2>
          <xm:sqref>F6:F225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showGridLines="0" zoomScaleNormal="100" workbookViewId="0"/>
  </sheetViews>
  <sheetFormatPr defaultColWidth="8.7109375" defaultRowHeight="15" x14ac:dyDescent="0.25"/>
  <cols>
    <col min="1" max="1" width="12" customWidth="1"/>
    <col min="2" max="3" width="18" customWidth="1"/>
  </cols>
  <sheetData>
    <row r="1" spans="1:3" x14ac:dyDescent="0.25">
      <c r="A1" s="7" t="s">
        <v>196</v>
      </c>
      <c r="B1" s="7" t="s">
        <v>197</v>
      </c>
      <c r="C1" s="7" t="s">
        <v>198</v>
      </c>
    </row>
    <row r="2" spans="1:3" x14ac:dyDescent="0.25">
      <c r="A2" s="4" t="s">
        <v>59</v>
      </c>
      <c r="B2" s="14">
        <f>SUMIF(TB!$F$6:$F$225,A2,TB!$B$6:$B$225)-SUMIF(TB!$F$6:$F$225,A2,TB!$C$6:$C$225)</f>
        <v>0</v>
      </c>
      <c r="C2" s="14">
        <f>SUMIF(TB!$F$6:$F$225,A2,TB!$D$6:$D$225)-SUMIF(TB!$F$6:$F$225,A2,TB!$E$6:$E$225)</f>
        <v>0</v>
      </c>
    </row>
    <row r="3" spans="1:3" x14ac:dyDescent="0.25">
      <c r="A3" s="4" t="s">
        <v>63</v>
      </c>
      <c r="B3" s="14">
        <f>SUMIF(TB!$F$6:$F$225,A3,TB!$B$6:$B$225)-SUMIF(TB!$F$6:$F$225,A3,TB!$C$6:$C$225)</f>
        <v>0</v>
      </c>
      <c r="C3" s="14">
        <f>SUMIF(TB!$F$6:$F$225,A3,TB!$D$6:$D$225)-SUMIF(TB!$F$6:$F$225,A3,TB!$E$6:$E$225)</f>
        <v>0</v>
      </c>
    </row>
    <row r="4" spans="1:3" x14ac:dyDescent="0.25">
      <c r="A4" s="4" t="s">
        <v>66</v>
      </c>
      <c r="B4" s="14">
        <f>SUMIF(TB!$F$6:$F$225,A4,TB!$B$6:$B$225)-SUMIF(TB!$F$6:$F$225,A4,TB!$C$6:$C$225)</f>
        <v>0</v>
      </c>
      <c r="C4" s="14">
        <f>SUMIF(TB!$F$6:$F$225,A4,TB!$D$6:$D$225)-SUMIF(TB!$F$6:$F$225,A4,TB!$E$6:$E$225)</f>
        <v>0</v>
      </c>
    </row>
    <row r="5" spans="1:3" x14ac:dyDescent="0.25">
      <c r="A5" s="4" t="s">
        <v>69</v>
      </c>
      <c r="B5" s="14">
        <f>SUMIF(TB!$F$6:$F$225,A5,TB!$B$6:$B$225)-SUMIF(TB!$F$6:$F$225,A5,TB!$C$6:$C$225)</f>
        <v>0</v>
      </c>
      <c r="C5" s="14">
        <f>SUMIF(TB!$F$6:$F$225,A5,TB!$D$6:$D$225)-SUMIF(TB!$F$6:$F$225,A5,TB!$E$6:$E$225)</f>
        <v>0</v>
      </c>
    </row>
    <row r="6" spans="1:3" x14ac:dyDescent="0.25">
      <c r="A6" s="4" t="s">
        <v>72</v>
      </c>
      <c r="B6" s="14">
        <f>SUMIF(TB!$F$6:$F$225,A6,TB!$B$6:$B$225)-SUMIF(TB!$F$6:$F$225,A6,TB!$C$6:$C$225)</f>
        <v>0</v>
      </c>
      <c r="C6" s="14">
        <f>SUMIF(TB!$F$6:$F$225,A6,TB!$D$6:$D$225)-SUMIF(TB!$F$6:$F$225,A6,TB!$E$6:$E$225)</f>
        <v>0</v>
      </c>
    </row>
    <row r="7" spans="1:3" x14ac:dyDescent="0.25">
      <c r="A7" s="4" t="s">
        <v>75</v>
      </c>
      <c r="B7" s="14">
        <f>SUMIF(TB!$F$6:$F$225,A7,TB!$B$6:$B$225)-SUMIF(TB!$F$6:$F$225,A7,TB!$C$6:$C$225)</f>
        <v>0</v>
      </c>
      <c r="C7" s="14">
        <f>SUMIF(TB!$F$6:$F$225,A7,TB!$D$6:$D$225)-SUMIF(TB!$F$6:$F$225,A7,TB!$E$6:$E$225)</f>
        <v>0</v>
      </c>
    </row>
    <row r="8" spans="1:3" x14ac:dyDescent="0.25">
      <c r="A8" s="4" t="s">
        <v>78</v>
      </c>
      <c r="B8" s="14">
        <f>SUMIF(TB!$F$6:$F$225,A8,TB!$B$6:$B$225)-SUMIF(TB!$F$6:$F$225,A8,TB!$C$6:$C$225)</f>
        <v>0</v>
      </c>
      <c r="C8" s="14">
        <f>SUMIF(TB!$F$6:$F$225,A8,TB!$D$6:$D$225)-SUMIF(TB!$F$6:$F$225,A8,TB!$E$6:$E$225)</f>
        <v>0</v>
      </c>
    </row>
    <row r="9" spans="1:3" x14ac:dyDescent="0.25">
      <c r="A9" s="4" t="s">
        <v>81</v>
      </c>
      <c r="B9" s="14">
        <f>SUMIF(TB!$F$6:$F$225,A9,TB!$B$6:$B$225)-SUMIF(TB!$F$6:$F$225,A9,TB!$C$6:$C$225)</f>
        <v>0</v>
      </c>
      <c r="C9" s="14">
        <f>SUMIF(TB!$F$6:$F$225,A9,TB!$D$6:$D$225)-SUMIF(TB!$F$6:$F$225,A9,TB!$E$6:$E$225)</f>
        <v>0</v>
      </c>
    </row>
    <row r="10" spans="1:3" x14ac:dyDescent="0.25">
      <c r="A10" s="4" t="s">
        <v>84</v>
      </c>
      <c r="B10" s="14">
        <f>SUMIF(TB!$F$6:$F$225,A10,TB!$B$6:$B$225)-SUMIF(TB!$F$6:$F$225,A10,TB!$C$6:$C$225)</f>
        <v>0</v>
      </c>
      <c r="C10" s="14">
        <f>SUMIF(TB!$F$6:$F$225,A10,TB!$D$6:$D$225)-SUMIF(TB!$F$6:$F$225,A10,TB!$E$6:$E$225)</f>
        <v>0</v>
      </c>
    </row>
    <row r="11" spans="1:3" x14ac:dyDescent="0.25">
      <c r="A11" s="4" t="s">
        <v>87</v>
      </c>
      <c r="B11" s="14">
        <f>SUMIF(TB!$F$6:$F$225,A11,TB!$B$6:$B$225)-SUMIF(TB!$F$6:$F$225,A11,TB!$C$6:$C$225)</f>
        <v>0</v>
      </c>
      <c r="C11" s="14">
        <f>SUMIF(TB!$F$6:$F$225,A11,TB!$D$6:$D$225)-SUMIF(TB!$F$6:$F$225,A11,TB!$E$6:$E$225)</f>
        <v>0</v>
      </c>
    </row>
    <row r="12" spans="1:3" x14ac:dyDescent="0.25">
      <c r="A12" s="4" t="s">
        <v>90</v>
      </c>
      <c r="B12" s="14">
        <f>SUMIF(TB!$F$6:$F$225,A12,TB!$B$6:$B$225)-SUMIF(TB!$F$6:$F$225,A12,TB!$C$6:$C$225)</f>
        <v>0</v>
      </c>
      <c r="C12" s="14">
        <f>SUMIF(TB!$F$6:$F$225,A12,TB!$D$6:$D$225)-SUMIF(TB!$F$6:$F$225,A12,TB!$E$6:$E$225)</f>
        <v>0</v>
      </c>
    </row>
    <row r="13" spans="1:3" x14ac:dyDescent="0.25">
      <c r="A13" s="4" t="s">
        <v>93</v>
      </c>
      <c r="B13" s="14">
        <f>SUMIF(TB!$F$6:$F$225,A13,TB!$B$6:$B$225)-SUMIF(TB!$F$6:$F$225,A13,TB!$C$6:$C$225)</f>
        <v>0</v>
      </c>
      <c r="C13" s="14">
        <f>SUMIF(TB!$F$6:$F$225,A13,TB!$D$6:$D$225)-SUMIF(TB!$F$6:$F$225,A13,TB!$E$6:$E$225)</f>
        <v>0</v>
      </c>
    </row>
    <row r="14" spans="1:3" x14ac:dyDescent="0.25">
      <c r="A14" s="4" t="s">
        <v>96</v>
      </c>
      <c r="B14" s="14">
        <f>SUMIF(TB!$F$6:$F$225,A14,TB!$B$6:$B$225)-SUMIF(TB!$F$6:$F$225,A14,TB!$C$6:$C$225)</f>
        <v>0</v>
      </c>
      <c r="C14" s="14">
        <f>SUMIF(TB!$F$6:$F$225,A14,TB!$D$6:$D$225)-SUMIF(TB!$F$6:$F$225,A14,TB!$E$6:$E$225)</f>
        <v>0</v>
      </c>
    </row>
    <row r="15" spans="1:3" x14ac:dyDescent="0.25">
      <c r="A15" s="4" t="s">
        <v>100</v>
      </c>
      <c r="B15" s="14">
        <f>SUMIF(TB!$F$6:$F$225,A15,TB!$B$6:$B$225)-SUMIF(TB!$F$6:$F$225,A15,TB!$C$6:$C$225)</f>
        <v>0</v>
      </c>
      <c r="C15" s="14">
        <f>SUMIF(TB!$F$6:$F$225,A15,TB!$D$6:$D$225)-SUMIF(TB!$F$6:$F$225,A15,TB!$E$6:$E$225)</f>
        <v>0</v>
      </c>
    </row>
    <row r="16" spans="1:3" x14ac:dyDescent="0.25">
      <c r="A16" s="4" t="s">
        <v>103</v>
      </c>
      <c r="B16" s="14">
        <f>SUMIF(TB!$F$6:$F$225,A16,TB!$B$6:$B$225)-SUMIF(TB!$F$6:$F$225,A16,TB!$C$6:$C$225)</f>
        <v>0</v>
      </c>
      <c r="C16" s="14">
        <f>SUMIF(TB!$F$6:$F$225,A16,TB!$D$6:$D$225)-SUMIF(TB!$F$6:$F$225,A16,TB!$E$6:$E$225)</f>
        <v>0</v>
      </c>
    </row>
    <row r="17" spans="1:3" x14ac:dyDescent="0.25">
      <c r="A17" s="4" t="s">
        <v>106</v>
      </c>
      <c r="B17" s="14">
        <f>SUMIF(TB!$F$6:$F$225,A17,TB!$B$6:$B$225)-SUMIF(TB!$F$6:$F$225,A17,TB!$C$6:$C$225)</f>
        <v>0</v>
      </c>
      <c r="C17" s="14">
        <f>SUMIF(TB!$F$6:$F$225,A17,TB!$D$6:$D$225)-SUMIF(TB!$F$6:$F$225,A17,TB!$E$6:$E$225)</f>
        <v>0</v>
      </c>
    </row>
    <row r="18" spans="1:3" x14ac:dyDescent="0.25">
      <c r="A18" s="4" t="s">
        <v>109</v>
      </c>
      <c r="B18" s="14">
        <f>SUMIF(TB!$F$6:$F$225,A18,TB!$B$6:$B$225)-SUMIF(TB!$F$6:$F$225,A18,TB!$C$6:$C$225)</f>
        <v>0</v>
      </c>
      <c r="C18" s="14">
        <f>SUMIF(TB!$F$6:$F$225,A18,TB!$D$6:$D$225)-SUMIF(TB!$F$6:$F$225,A18,TB!$E$6:$E$225)</f>
        <v>0</v>
      </c>
    </row>
    <row r="19" spans="1:3" x14ac:dyDescent="0.25">
      <c r="A19" s="4" t="s">
        <v>112</v>
      </c>
      <c r="B19" s="14">
        <f>SUMIF(TB!$F$6:$F$225,A19,TB!$B$6:$B$225)-SUMIF(TB!$F$6:$F$225,A19,TB!$C$6:$C$225)</f>
        <v>0</v>
      </c>
      <c r="C19" s="14">
        <f>SUMIF(TB!$F$6:$F$225,A19,TB!$D$6:$D$225)-SUMIF(TB!$F$6:$F$225,A19,TB!$E$6:$E$225)</f>
        <v>0</v>
      </c>
    </row>
    <row r="20" spans="1:3" x14ac:dyDescent="0.25">
      <c r="A20" s="4" t="s">
        <v>115</v>
      </c>
      <c r="B20" s="14">
        <f>SUMIF(TB!$F$6:$F$225,A20,TB!$B$6:$B$225)-SUMIF(TB!$F$6:$F$225,A20,TB!$C$6:$C$225)</f>
        <v>0</v>
      </c>
      <c r="C20" s="14">
        <f>SUMIF(TB!$F$6:$F$225,A20,TB!$D$6:$D$225)-SUMIF(TB!$F$6:$F$225,A20,TB!$E$6:$E$225)</f>
        <v>0</v>
      </c>
    </row>
    <row r="21" spans="1:3" x14ac:dyDescent="0.25">
      <c r="A21" s="4" t="s">
        <v>118</v>
      </c>
      <c r="B21" s="14">
        <f>SUMIF(TB!$F$6:$F$225,A21,TB!$B$6:$B$225)-SUMIF(TB!$F$6:$F$225,A21,TB!$C$6:$C$225)</f>
        <v>0</v>
      </c>
      <c r="C21" s="14">
        <f>SUMIF(TB!$F$6:$F$225,A21,TB!$D$6:$D$225)-SUMIF(TB!$F$6:$F$225,A21,TB!$E$6:$E$225)</f>
        <v>0</v>
      </c>
    </row>
    <row r="22" spans="1:3" x14ac:dyDescent="0.25">
      <c r="A22" s="4" t="s">
        <v>120</v>
      </c>
      <c r="B22" s="14">
        <f>SUMIF(TB!$F$6:$F$225,A22,TB!$B$6:$B$225)-SUMIF(TB!$F$6:$F$225,A22,TB!$C$6:$C$225)</f>
        <v>0</v>
      </c>
      <c r="C22" s="14">
        <f>SUMIF(TB!$F$6:$F$225,A22,TB!$D$6:$D$225)-SUMIF(TB!$F$6:$F$225,A22,TB!$E$6:$E$225)</f>
        <v>0</v>
      </c>
    </row>
    <row r="23" spans="1:3" x14ac:dyDescent="0.25">
      <c r="A23" s="4" t="s">
        <v>123</v>
      </c>
      <c r="B23" s="14">
        <f>SUMIF(TB!$F$6:$F$225,A23,TB!$B$6:$B$225)-SUMIF(TB!$F$6:$F$225,A23,TB!$C$6:$C$225)</f>
        <v>0</v>
      </c>
      <c r="C23" s="14">
        <f>SUMIF(TB!$F$6:$F$225,A23,TB!$D$6:$D$225)-SUMIF(TB!$F$6:$F$225,A23,TB!$E$6:$E$225)</f>
        <v>0</v>
      </c>
    </row>
    <row r="24" spans="1:3" x14ac:dyDescent="0.25">
      <c r="A24" s="4" t="s">
        <v>126</v>
      </c>
      <c r="B24" s="14">
        <f>SUMIF(TB!$F$6:$F$225,A24,TB!$B$6:$B$225)-SUMIF(TB!$F$6:$F$225,A24,TB!$C$6:$C$225)</f>
        <v>0</v>
      </c>
      <c r="C24" s="14">
        <f>SUMIF(TB!$F$6:$F$225,A24,TB!$D$6:$D$225)-SUMIF(TB!$F$6:$F$225,A24,TB!$E$6:$E$225)</f>
        <v>0</v>
      </c>
    </row>
    <row r="25" spans="1:3" x14ac:dyDescent="0.25">
      <c r="A25" s="4" t="s">
        <v>129</v>
      </c>
      <c r="B25" s="14">
        <f>SUMIF(TB!$F$6:$F$225,A25,TB!$B$6:$B$225)-SUMIF(TB!$F$6:$F$225,A25,TB!$C$6:$C$225)</f>
        <v>0</v>
      </c>
      <c r="C25" s="14">
        <f>SUMIF(TB!$F$6:$F$225,A25,TB!$D$6:$D$225)-SUMIF(TB!$F$6:$F$225,A25,TB!$E$6:$E$225)</f>
        <v>0</v>
      </c>
    </row>
    <row r="26" spans="1:3" x14ac:dyDescent="0.25">
      <c r="A26" s="4" t="s">
        <v>132</v>
      </c>
      <c r="B26" s="14">
        <f>SUMIF(TB!$F$6:$F$225,A26,TB!$B$6:$B$225)-SUMIF(TB!$F$6:$F$225,A26,TB!$C$6:$C$225)</f>
        <v>0</v>
      </c>
      <c r="C26" s="14">
        <f>SUMIF(TB!$F$6:$F$225,A26,TB!$D$6:$D$225)-SUMIF(TB!$F$6:$F$225,A26,TB!$E$6:$E$225)</f>
        <v>0</v>
      </c>
    </row>
    <row r="27" spans="1:3" x14ac:dyDescent="0.25">
      <c r="A27" s="4" t="s">
        <v>135</v>
      </c>
      <c r="B27" s="14">
        <f>SUMIF(TB!$F$6:$F$225,A27,TB!$B$6:$B$225)-SUMIF(TB!$F$6:$F$225,A27,TB!$C$6:$C$225)</f>
        <v>0</v>
      </c>
      <c r="C27" s="14">
        <f>SUMIF(TB!$F$6:$F$225,A27,TB!$D$6:$D$225)-SUMIF(TB!$F$6:$F$225,A27,TB!$E$6:$E$225)</f>
        <v>0</v>
      </c>
    </row>
    <row r="28" spans="1:3" x14ac:dyDescent="0.25">
      <c r="A28" s="4" t="s">
        <v>138</v>
      </c>
      <c r="B28" s="14">
        <f>SUMIF(TB!$F$6:$F$225,A28,TB!$B$6:$B$225)-SUMIF(TB!$F$6:$F$225,A28,TB!$C$6:$C$225)</f>
        <v>0</v>
      </c>
      <c r="C28" s="14">
        <f>SUMIF(TB!$F$6:$F$225,A28,TB!$D$6:$D$225)-SUMIF(TB!$F$6:$F$225,A28,TB!$E$6:$E$225)</f>
        <v>0</v>
      </c>
    </row>
    <row r="29" spans="1:3" x14ac:dyDescent="0.25">
      <c r="A29" s="4" t="s">
        <v>142</v>
      </c>
      <c r="B29" s="14">
        <f>SUMIF(TB!$F$6:$F$225,A29,TB!$B$6:$B$225)-SUMIF(TB!$F$6:$F$225,A29,TB!$C$6:$C$225)</f>
        <v>0</v>
      </c>
      <c r="C29" s="14">
        <f>SUMIF(TB!$F$6:$F$225,A29,TB!$D$6:$D$225)-SUMIF(TB!$F$6:$F$225,A29,TB!$E$6:$E$225)</f>
        <v>0</v>
      </c>
    </row>
    <row r="30" spans="1:3" x14ac:dyDescent="0.25">
      <c r="A30" s="4" t="s">
        <v>145</v>
      </c>
      <c r="B30" s="14">
        <f>SUMIF(TB!$F$6:$F$225,A30,TB!$B$6:$B$225)-SUMIF(TB!$F$6:$F$225,A30,TB!$C$6:$C$225)</f>
        <v>0</v>
      </c>
      <c r="C30" s="14">
        <f>SUMIF(TB!$F$6:$F$225,A30,TB!$D$6:$D$225)-SUMIF(TB!$F$6:$F$225,A30,TB!$E$6:$E$225)</f>
        <v>0</v>
      </c>
    </row>
    <row r="31" spans="1:3" x14ac:dyDescent="0.25">
      <c r="A31" s="4" t="s">
        <v>149</v>
      </c>
      <c r="B31" s="14">
        <f>SUMIF(TB!$F$6:$F$225,A31,TB!$B$6:$B$225)-SUMIF(TB!$F$6:$F$225,A31,TB!$C$6:$C$225)</f>
        <v>0</v>
      </c>
      <c r="C31" s="14">
        <f>SUMIF(TB!$F$6:$F$225,A31,TB!$D$6:$D$225)-SUMIF(TB!$F$6:$F$225,A31,TB!$E$6:$E$225)</f>
        <v>0</v>
      </c>
    </row>
    <row r="32" spans="1:3" x14ac:dyDescent="0.25">
      <c r="A32" s="4" t="s">
        <v>152</v>
      </c>
      <c r="B32" s="14">
        <f>SUMIF(TB!$F$6:$F$225,A32,TB!$B$6:$B$225)-SUMIF(TB!$F$6:$F$225,A32,TB!$C$6:$C$225)</f>
        <v>0</v>
      </c>
      <c r="C32" s="14">
        <f>SUMIF(TB!$F$6:$F$225,A32,TB!$D$6:$D$225)-SUMIF(TB!$F$6:$F$225,A32,TB!$E$6:$E$225)</f>
        <v>0</v>
      </c>
    </row>
    <row r="33" spans="1:3" x14ac:dyDescent="0.25">
      <c r="A33" s="4" t="s">
        <v>155</v>
      </c>
      <c r="B33" s="14">
        <f>SUMIF(TB!$F$6:$F$225,A33,TB!$B$6:$B$225)-SUMIF(TB!$F$6:$F$225,A33,TB!$C$6:$C$225)</f>
        <v>0</v>
      </c>
      <c r="C33" s="14">
        <f>SUMIF(TB!$F$6:$F$225,A33,TB!$D$6:$D$225)-SUMIF(TB!$F$6:$F$225,A33,TB!$E$6:$E$225)</f>
        <v>0</v>
      </c>
    </row>
    <row r="34" spans="1:3" x14ac:dyDescent="0.25">
      <c r="A34" s="4" t="s">
        <v>158</v>
      </c>
      <c r="B34" s="14">
        <f>SUMIF(TB!$F$6:$F$225,A34,TB!$B$6:$B$225)-SUMIF(TB!$F$6:$F$225,A34,TB!$C$6:$C$225)</f>
        <v>0</v>
      </c>
      <c r="C34" s="14">
        <f>SUMIF(TB!$F$6:$F$225,A34,TB!$D$6:$D$225)-SUMIF(TB!$F$6:$F$225,A34,TB!$E$6:$E$225)</f>
        <v>0</v>
      </c>
    </row>
    <row r="35" spans="1:3" x14ac:dyDescent="0.25">
      <c r="A35" s="4" t="s">
        <v>161</v>
      </c>
      <c r="B35" s="14">
        <f>SUMIF(TB!$F$6:$F$225,A35,TB!$B$6:$B$225)-SUMIF(TB!$F$6:$F$225,A35,TB!$C$6:$C$225)</f>
        <v>0</v>
      </c>
      <c r="C35" s="14">
        <f>SUMIF(TB!$F$6:$F$225,A35,TB!$D$6:$D$225)-SUMIF(TB!$F$6:$F$225,A35,TB!$E$6:$E$225)</f>
        <v>0</v>
      </c>
    </row>
    <row r="36" spans="1:3" x14ac:dyDescent="0.25">
      <c r="A36" s="4" t="s">
        <v>164</v>
      </c>
      <c r="B36" s="14">
        <f>SUMIF(TB!$F$6:$F$225,A36,TB!$B$6:$B$225)-SUMIF(TB!$F$6:$F$225,A36,TB!$C$6:$C$225)</f>
        <v>0</v>
      </c>
      <c r="C36" s="14">
        <f>SUMIF(TB!$F$6:$F$225,A36,TB!$D$6:$D$225)-SUMIF(TB!$F$6:$F$225,A36,TB!$E$6:$E$225)</f>
        <v>0</v>
      </c>
    </row>
    <row r="37" spans="1:3" x14ac:dyDescent="0.25">
      <c r="A37" s="4" t="s">
        <v>167</v>
      </c>
      <c r="B37" s="14">
        <f>SUMIF(TB!$F$6:$F$225,A37,TB!$B$6:$B$225)-SUMIF(TB!$F$6:$F$225,A37,TB!$C$6:$C$225)</f>
        <v>0</v>
      </c>
      <c r="C37" s="14">
        <f>SUMIF(TB!$F$6:$F$225,A37,TB!$D$6:$D$225)-SUMIF(TB!$F$6:$F$225,A37,TB!$E$6:$E$225)</f>
        <v>0</v>
      </c>
    </row>
    <row r="38" spans="1:3" x14ac:dyDescent="0.25">
      <c r="A38" s="4" t="s">
        <v>170</v>
      </c>
      <c r="B38" s="14">
        <f>SUMIF(TB!$F$6:$F$225,A38,TB!$B$6:$B$225)-SUMIF(TB!$F$6:$F$225,A38,TB!$C$6:$C$225)</f>
        <v>0</v>
      </c>
      <c r="C38" s="14">
        <f>SUMIF(TB!$F$6:$F$225,A38,TB!$D$6:$D$225)-SUMIF(TB!$F$6:$F$225,A38,TB!$E$6:$E$225)</f>
        <v>0</v>
      </c>
    </row>
    <row r="39" spans="1:3" x14ac:dyDescent="0.25">
      <c r="A39" s="4" t="s">
        <v>173</v>
      </c>
      <c r="B39" s="14">
        <f>SUMIF(TB!$F$6:$F$225,A39,TB!$B$6:$B$225)-SUMIF(TB!$F$6:$F$225,A39,TB!$C$6:$C$225)</f>
        <v>0</v>
      </c>
      <c r="C39" s="14">
        <f>SUMIF(TB!$F$6:$F$225,A39,TB!$D$6:$D$225)-SUMIF(TB!$F$6:$F$225,A39,TB!$E$6:$E$225)</f>
        <v>0</v>
      </c>
    </row>
    <row r="40" spans="1:3" x14ac:dyDescent="0.25">
      <c r="A40" s="4" t="s">
        <v>176</v>
      </c>
      <c r="B40" s="14">
        <f>SUMIF(TB!$F$6:$F$225,A40,TB!$B$6:$B$225)-SUMIF(TB!$F$6:$F$225,A40,TB!$C$6:$C$225)</f>
        <v>0</v>
      </c>
      <c r="C40" s="14">
        <f>SUMIF(TB!$F$6:$F$225,A40,TB!$D$6:$D$225)-SUMIF(TB!$F$6:$F$225,A40,TB!$E$6:$E$225)</f>
        <v>0</v>
      </c>
    </row>
    <row r="41" spans="1:3" x14ac:dyDescent="0.25">
      <c r="A41" s="4" t="s">
        <v>179</v>
      </c>
      <c r="B41" s="14">
        <f>SUMIF(TB!$F$6:$F$225,A41,TB!$B$6:$B$225)-SUMIF(TB!$F$6:$F$225,A41,TB!$C$6:$C$225)</f>
        <v>0</v>
      </c>
      <c r="C41" s="14">
        <f>SUMIF(TB!$F$6:$F$225,A41,TB!$D$6:$D$225)-SUMIF(TB!$F$6:$F$225,A41,TB!$E$6:$E$225)</f>
        <v>0</v>
      </c>
    </row>
    <row r="43" spans="1:3" x14ac:dyDescent="0.25">
      <c r="A43" s="7" t="s">
        <v>199</v>
      </c>
      <c r="B43" s="12">
        <f>-(Calc!$B$28+Calc!$B$29)-(Calc!$B$30+Calc!$B$31+Calc!$B$32+Calc!$B$33+Calc!$B$34+Calc!$B$35+Calc!$B$36+Calc!$B$37)</f>
        <v>0</v>
      </c>
      <c r="C43" s="12">
        <f>-(Calc!$C$28+Calc!$C$29)-(Calc!$C$30+Calc!$C$31+Calc!$C$32+Calc!$C$33+Calc!$C$34+Calc!$C$35+Calc!$C$36+Calc!$C$37)</f>
        <v>0</v>
      </c>
    </row>
    <row r="44" spans="1:3" x14ac:dyDescent="0.25">
      <c r="A44" s="7" t="s">
        <v>200</v>
      </c>
      <c r="B44" s="12">
        <f>B43-Calc!$B$38-Calc!$B$39</f>
        <v>0</v>
      </c>
      <c r="C44" s="12">
        <f>C43-Calc!$C$38-Calc!$C$39</f>
        <v>0</v>
      </c>
    </row>
    <row r="45" spans="1:3" x14ac:dyDescent="0.25">
      <c r="A45" s="7" t="s">
        <v>201</v>
      </c>
      <c r="B45" s="12">
        <f>B44-Calc!$B$40-Calc!$B$41</f>
        <v>0</v>
      </c>
      <c r="C45" s="12">
        <f>C44-Calc!$C$40-Calc!$C$41</f>
        <v>0</v>
      </c>
    </row>
  </sheetData>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AD47"/>
  </sheetPr>
  <dimension ref="A1:I23"/>
  <sheetViews>
    <sheetView showGridLines="0" zoomScaleNormal="100" workbookViewId="0"/>
  </sheetViews>
  <sheetFormatPr defaultColWidth="8.7109375" defaultRowHeight="15" x14ac:dyDescent="0.25"/>
  <cols>
    <col min="1" max="1" width="26" customWidth="1"/>
    <col min="2" max="2" width="10" customWidth="1"/>
    <col min="3" max="9" width="15" customWidth="1"/>
    <col min="10" max="10" width="30" customWidth="1"/>
  </cols>
  <sheetData>
    <row r="1" spans="1:9" ht="18" x14ac:dyDescent="0.25">
      <c r="A1" s="1" t="s">
        <v>202</v>
      </c>
    </row>
    <row r="2" spans="1:9" x14ac:dyDescent="0.25">
      <c r="A2" s="4" t="str">
        <f>Setup!C5</f>
        <v>M/s Malla Traders</v>
      </c>
    </row>
    <row r="3" spans="1:9" x14ac:dyDescent="0.25">
      <c r="A3" s="2" t="s">
        <v>203</v>
      </c>
    </row>
    <row r="5" spans="1:9" x14ac:dyDescent="0.25">
      <c r="A5" s="9" t="s">
        <v>204</v>
      </c>
      <c r="B5" s="9" t="s">
        <v>205</v>
      </c>
      <c r="C5" s="9" t="s">
        <v>206</v>
      </c>
      <c r="D5" s="9" t="s">
        <v>207</v>
      </c>
      <c r="E5" s="9" t="s">
        <v>208</v>
      </c>
      <c r="F5" s="9" t="s">
        <v>209</v>
      </c>
      <c r="G5" s="9" t="s">
        <v>210</v>
      </c>
      <c r="H5" s="9" t="s">
        <v>211</v>
      </c>
      <c r="I5" s="9" t="s">
        <v>212</v>
      </c>
    </row>
    <row r="6" spans="1:9" x14ac:dyDescent="0.25">
      <c r="A6" s="4" t="str">
        <f>IF(Setup!B25="","",Setup!B25)</f>
        <v>Suresh Kumar</v>
      </c>
      <c r="B6" s="15">
        <f>IF($A6="","",Setup!D25)</f>
        <v>50</v>
      </c>
      <c r="C6" s="11"/>
      <c r="D6" s="11"/>
      <c r="E6" s="11"/>
      <c r="F6" s="11"/>
      <c r="G6" s="11"/>
      <c r="H6" s="14">
        <f>IF(OR($A6="",SUM($B$6:$B$11)=0),0,Calc!$B$45*$B6/SUM($B$6:$B$11))</f>
        <v>0</v>
      </c>
      <c r="I6" s="14">
        <f t="shared" ref="I6:I11" si="0">IF($A6="",0,SUM($C6:$F6)-$G6+$H6)</f>
        <v>0</v>
      </c>
    </row>
    <row r="7" spans="1:9" x14ac:dyDescent="0.25">
      <c r="A7" s="4" t="str">
        <f>IF(Setup!B26="","",Setup!B26)</f>
        <v>Ramesh Rao</v>
      </c>
      <c r="B7" s="15">
        <f>IF($A7="","",Setup!D26)</f>
        <v>50</v>
      </c>
      <c r="C7" s="11"/>
      <c r="D7" s="11"/>
      <c r="E7" s="11"/>
      <c r="F7" s="11"/>
      <c r="G7" s="11"/>
      <c r="H7" s="14">
        <f>IF(OR($A7="",SUM($B$6:$B$11)=0),0,Calc!$B$45*$B7/SUM($B$6:$B$11))</f>
        <v>0</v>
      </c>
      <c r="I7" s="14">
        <f t="shared" si="0"/>
        <v>0</v>
      </c>
    </row>
    <row r="8" spans="1:9" x14ac:dyDescent="0.25">
      <c r="A8" s="4" t="str">
        <f>IF(Setup!B27="","",Setup!B27)</f>
        <v/>
      </c>
      <c r="B8" s="15" t="str">
        <f>IF($A8="","",Setup!D27)</f>
        <v/>
      </c>
      <c r="C8" s="11"/>
      <c r="D8" s="11"/>
      <c r="E8" s="11"/>
      <c r="F8" s="11"/>
      <c r="G8" s="11"/>
      <c r="H8" s="14">
        <f>IF(OR($A8="",SUM($B$6:$B$11)=0),0,Calc!$B$45*$B8/SUM($B$6:$B$11))</f>
        <v>0</v>
      </c>
      <c r="I8" s="14">
        <f t="shared" si="0"/>
        <v>0</v>
      </c>
    </row>
    <row r="9" spans="1:9" x14ac:dyDescent="0.25">
      <c r="A9" s="4" t="str">
        <f>IF(Setup!B28="","",Setup!B28)</f>
        <v/>
      </c>
      <c r="B9" s="15" t="str">
        <f>IF($A9="","",Setup!D28)</f>
        <v/>
      </c>
      <c r="C9" s="11"/>
      <c r="D9" s="11"/>
      <c r="E9" s="11"/>
      <c r="F9" s="11"/>
      <c r="G9" s="11"/>
      <c r="H9" s="14">
        <f>IF(OR($A9="",SUM($B$6:$B$11)=0),0,Calc!$B$45*$B9/SUM($B$6:$B$11))</f>
        <v>0</v>
      </c>
      <c r="I9" s="14">
        <f t="shared" si="0"/>
        <v>0</v>
      </c>
    </row>
    <row r="10" spans="1:9" x14ac:dyDescent="0.25">
      <c r="A10" s="4" t="str">
        <f>IF(Setup!B29="","",Setup!B29)</f>
        <v/>
      </c>
      <c r="B10" s="15" t="str">
        <f>IF($A10="","",Setup!D29)</f>
        <v/>
      </c>
      <c r="C10" s="11"/>
      <c r="D10" s="11"/>
      <c r="E10" s="11"/>
      <c r="F10" s="11"/>
      <c r="G10" s="11"/>
      <c r="H10" s="14">
        <f>IF(OR($A10="",SUM($B$6:$B$11)=0),0,Calc!$B$45*$B10/SUM($B$6:$B$11))</f>
        <v>0</v>
      </c>
      <c r="I10" s="14">
        <f t="shared" si="0"/>
        <v>0</v>
      </c>
    </row>
    <row r="11" spans="1:9" x14ac:dyDescent="0.25">
      <c r="A11" s="4" t="str">
        <f>IF(Setup!B30="","",Setup!B30)</f>
        <v/>
      </c>
      <c r="B11" s="15" t="str">
        <f>IF($A11="","",Setup!D30)</f>
        <v/>
      </c>
      <c r="C11" s="11"/>
      <c r="D11" s="11"/>
      <c r="E11" s="11"/>
      <c r="F11" s="11"/>
      <c r="G11" s="11"/>
      <c r="H11" s="14">
        <f>IF(OR($A11="",SUM($B$6:$B$11)=0),0,Calc!$B$45*$B11/SUM($B$6:$B$11))</f>
        <v>0</v>
      </c>
      <c r="I11" s="14">
        <f t="shared" si="0"/>
        <v>0</v>
      </c>
    </row>
    <row r="12" spans="1:9" x14ac:dyDescent="0.25">
      <c r="A12" s="7" t="s">
        <v>213</v>
      </c>
      <c r="B12" s="13">
        <f t="shared" ref="B12:I12" si="1">SUM(B6:B11)</f>
        <v>100</v>
      </c>
      <c r="C12" s="16">
        <f t="shared" si="1"/>
        <v>0</v>
      </c>
      <c r="D12" s="16">
        <f t="shared" si="1"/>
        <v>0</v>
      </c>
      <c r="E12" s="16">
        <f t="shared" si="1"/>
        <v>0</v>
      </c>
      <c r="F12" s="16">
        <f t="shared" si="1"/>
        <v>0</v>
      </c>
      <c r="G12" s="16">
        <f t="shared" si="1"/>
        <v>0</v>
      </c>
      <c r="H12" s="16">
        <f t="shared" si="1"/>
        <v>0</v>
      </c>
      <c r="I12" s="16">
        <f t="shared" si="1"/>
        <v>0</v>
      </c>
    </row>
    <row r="13" spans="1:9" x14ac:dyDescent="0.25">
      <c r="A13" s="4" t="s">
        <v>214</v>
      </c>
      <c r="I13" s="14">
        <f>-Calc!$B$2+Calc!$B$45</f>
        <v>0</v>
      </c>
    </row>
    <row r="14" spans="1:9" x14ac:dyDescent="0.25">
      <c r="A14" s="4" t="s">
        <v>215</v>
      </c>
      <c r="I14" s="12">
        <f>I12-I13</f>
        <v>0</v>
      </c>
    </row>
    <row r="16" spans="1:9" x14ac:dyDescent="0.25">
      <c r="A16" s="2" t="s">
        <v>216</v>
      </c>
    </row>
    <row r="18" spans="1:4" x14ac:dyDescent="0.25">
      <c r="A18" s="3" t="s">
        <v>217</v>
      </c>
    </row>
    <row r="19" spans="1:4" x14ac:dyDescent="0.25">
      <c r="A19" s="4" t="s">
        <v>218</v>
      </c>
      <c r="D19" s="14">
        <f>Calc!$B$43-SUM(F6:F11)</f>
        <v>0</v>
      </c>
    </row>
    <row r="20" spans="1:4" x14ac:dyDescent="0.25">
      <c r="A20" s="4" t="s">
        <v>219</v>
      </c>
      <c r="D20" s="14">
        <f>IF(D19&lt;=0,300000,MAX(300000,0.9*MIN(D19,600000))+0.6*MAX(0,D19-600000))</f>
        <v>300000</v>
      </c>
    </row>
    <row r="21" spans="1:4" x14ac:dyDescent="0.25">
      <c r="A21" s="4" t="s">
        <v>220</v>
      </c>
      <c r="D21" s="14">
        <f>SUM(E6:E11)</f>
        <v>0</v>
      </c>
    </row>
    <row r="22" spans="1:4" x14ac:dyDescent="0.25">
      <c r="A22" s="4" t="s">
        <v>221</v>
      </c>
      <c r="D22" s="12">
        <f>MAX(0,D21-D20)</f>
        <v>0</v>
      </c>
    </row>
    <row r="23" spans="1:4" x14ac:dyDescent="0.25">
      <c r="A23" s="2" t="s">
        <v>222</v>
      </c>
    </row>
  </sheetData>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D7D31"/>
  </sheetPr>
  <dimension ref="A1:H20"/>
  <sheetViews>
    <sheetView showGridLines="0" zoomScaleNormal="100" workbookViewId="0"/>
  </sheetViews>
  <sheetFormatPr defaultColWidth="8.7109375" defaultRowHeight="15" x14ac:dyDescent="0.25"/>
  <cols>
    <col min="1" max="1" width="34" customWidth="1"/>
    <col min="2" max="2" width="8" customWidth="1"/>
    <col min="3" max="3" width="15" customWidth="1"/>
    <col min="4" max="5" width="16" customWidth="1"/>
    <col min="6" max="8" width="15" customWidth="1"/>
  </cols>
  <sheetData>
    <row r="1" spans="1:8" ht="18" x14ac:dyDescent="0.25">
      <c r="A1" s="1" t="s">
        <v>223</v>
      </c>
    </row>
    <row r="2" spans="1:8" x14ac:dyDescent="0.25">
      <c r="A2" s="4" t="str">
        <f>Setup!C5</f>
        <v>M/s Malla Traders</v>
      </c>
    </row>
    <row r="3" spans="1:8" x14ac:dyDescent="0.25">
      <c r="A3" s="2" t="str">
        <f>IF(Setup!C21="SLM","Method: STRAIGHT LINE — enter your SLM rates in column B (same half-rate convention for additions used under 180 days).","Method: WRITTEN DOWN VALUE at Income-tax rates. Opening WDV = closing WDV per last year’s computation.")</f>
        <v>Method: WRITTEN DOWN VALUE at Income-tax rates. Opening WDV = closing WDV per last year’s computation.</v>
      </c>
    </row>
    <row r="5" spans="1:8" x14ac:dyDescent="0.25">
      <c r="A5" s="9" t="s">
        <v>224</v>
      </c>
      <c r="B5" s="9" t="s">
        <v>225</v>
      </c>
      <c r="C5" s="9" t="s">
        <v>226</v>
      </c>
      <c r="D5" s="9" t="s">
        <v>227</v>
      </c>
      <c r="E5" s="9" t="s">
        <v>228</v>
      </c>
      <c r="F5" s="9" t="s">
        <v>229</v>
      </c>
      <c r="G5" s="9" t="s">
        <v>230</v>
      </c>
      <c r="H5" s="9" t="s">
        <v>231</v>
      </c>
    </row>
    <row r="6" spans="1:8" x14ac:dyDescent="0.25">
      <c r="A6" s="5" t="s">
        <v>232</v>
      </c>
      <c r="B6" s="17">
        <v>0.1</v>
      </c>
      <c r="C6" s="11"/>
      <c r="D6" s="11"/>
      <c r="E6" s="11"/>
      <c r="F6" s="11"/>
      <c r="G6" s="14">
        <f t="shared" ref="G6:G15" si="0">IF($A6="",0,MAX(0,($C6+$D6-$F6)*$B6)+MIN($E6,MAX(0,$C6+$D6+$E6-$F6))*$B6/2)</f>
        <v>0</v>
      </c>
      <c r="H6" s="14">
        <f t="shared" ref="H6:H15" si="1">IF($A6="",0,MAX(0,$C6+$D6+$E6-$F6-$G6))</f>
        <v>0</v>
      </c>
    </row>
    <row r="7" spans="1:8" x14ac:dyDescent="0.25">
      <c r="A7" s="5" t="s">
        <v>233</v>
      </c>
      <c r="B7" s="17">
        <v>0.05</v>
      </c>
      <c r="C7" s="11"/>
      <c r="D7" s="11"/>
      <c r="E7" s="11"/>
      <c r="F7" s="11"/>
      <c r="G7" s="14">
        <f t="shared" si="0"/>
        <v>0</v>
      </c>
      <c r="H7" s="14">
        <f t="shared" si="1"/>
        <v>0</v>
      </c>
    </row>
    <row r="8" spans="1:8" x14ac:dyDescent="0.25">
      <c r="A8" s="5" t="s">
        <v>234</v>
      </c>
      <c r="B8" s="17">
        <v>0.1</v>
      </c>
      <c r="C8" s="11"/>
      <c r="D8" s="11"/>
      <c r="E8" s="11"/>
      <c r="F8" s="11"/>
      <c r="G8" s="14">
        <f t="shared" si="0"/>
        <v>0</v>
      </c>
      <c r="H8" s="14">
        <f t="shared" si="1"/>
        <v>0</v>
      </c>
    </row>
    <row r="9" spans="1:8" x14ac:dyDescent="0.25">
      <c r="A9" s="5" t="s">
        <v>235</v>
      </c>
      <c r="B9" s="17">
        <v>0.15</v>
      </c>
      <c r="C9" s="11"/>
      <c r="D9" s="11"/>
      <c r="E9" s="11"/>
      <c r="F9" s="11"/>
      <c r="G9" s="14">
        <f t="shared" si="0"/>
        <v>0</v>
      </c>
      <c r="H9" s="14">
        <f t="shared" si="1"/>
        <v>0</v>
      </c>
    </row>
    <row r="10" spans="1:8" x14ac:dyDescent="0.25">
      <c r="A10" s="5" t="s">
        <v>236</v>
      </c>
      <c r="B10" s="17">
        <v>0.15</v>
      </c>
      <c r="C10" s="11"/>
      <c r="D10" s="11"/>
      <c r="E10" s="11"/>
      <c r="F10" s="11"/>
      <c r="G10" s="14">
        <f t="shared" si="0"/>
        <v>0</v>
      </c>
      <c r="H10" s="14">
        <f t="shared" si="1"/>
        <v>0</v>
      </c>
    </row>
    <row r="11" spans="1:8" x14ac:dyDescent="0.25">
      <c r="A11" s="5" t="s">
        <v>237</v>
      </c>
      <c r="B11" s="17">
        <v>0.3</v>
      </c>
      <c r="C11" s="11"/>
      <c r="D11" s="11"/>
      <c r="E11" s="11"/>
      <c r="F11" s="11"/>
      <c r="G11" s="14">
        <f t="shared" si="0"/>
        <v>0</v>
      </c>
      <c r="H11" s="14">
        <f t="shared" si="1"/>
        <v>0</v>
      </c>
    </row>
    <row r="12" spans="1:8" x14ac:dyDescent="0.25">
      <c r="A12" s="5" t="s">
        <v>238</v>
      </c>
      <c r="B12" s="17">
        <v>0.4</v>
      </c>
      <c r="C12" s="11"/>
      <c r="D12" s="11"/>
      <c r="E12" s="11"/>
      <c r="F12" s="11"/>
      <c r="G12" s="14">
        <f t="shared" si="0"/>
        <v>0</v>
      </c>
      <c r="H12" s="14">
        <f t="shared" si="1"/>
        <v>0</v>
      </c>
    </row>
    <row r="13" spans="1:8" x14ac:dyDescent="0.25">
      <c r="A13" s="5" t="s">
        <v>239</v>
      </c>
      <c r="B13" s="17">
        <v>0.25</v>
      </c>
      <c r="C13" s="11"/>
      <c r="D13" s="11"/>
      <c r="E13" s="11"/>
      <c r="F13" s="11"/>
      <c r="G13" s="14">
        <f t="shared" si="0"/>
        <v>0</v>
      </c>
      <c r="H13" s="14">
        <f t="shared" si="1"/>
        <v>0</v>
      </c>
    </row>
    <row r="14" spans="1:8" x14ac:dyDescent="0.25">
      <c r="A14" s="5"/>
      <c r="B14" s="17"/>
      <c r="C14" s="11"/>
      <c r="D14" s="11"/>
      <c r="E14" s="11"/>
      <c r="F14" s="11"/>
      <c r="G14" s="14">
        <f t="shared" si="0"/>
        <v>0</v>
      </c>
      <c r="H14" s="14">
        <f t="shared" si="1"/>
        <v>0</v>
      </c>
    </row>
    <row r="15" spans="1:8" x14ac:dyDescent="0.25">
      <c r="A15" s="5"/>
      <c r="B15" s="17"/>
      <c r="C15" s="11"/>
      <c r="D15" s="11"/>
      <c r="E15" s="11"/>
      <c r="F15" s="11"/>
      <c r="G15" s="14">
        <f t="shared" si="0"/>
        <v>0</v>
      </c>
      <c r="H15" s="14">
        <f t="shared" si="1"/>
        <v>0</v>
      </c>
    </row>
    <row r="16" spans="1:8" x14ac:dyDescent="0.25">
      <c r="A16" s="7" t="s">
        <v>213</v>
      </c>
      <c r="C16" s="16">
        <f t="shared" ref="C16:H16" si="2">SUM(C6:C15)</f>
        <v>0</v>
      </c>
      <c r="D16" s="16">
        <f t="shared" si="2"/>
        <v>0</v>
      </c>
      <c r="E16" s="16">
        <f t="shared" si="2"/>
        <v>0</v>
      </c>
      <c r="F16" s="16">
        <f t="shared" si="2"/>
        <v>0</v>
      </c>
      <c r="G16" s="16">
        <f t="shared" si="2"/>
        <v>0</v>
      </c>
      <c r="H16" s="16">
        <f t="shared" si="2"/>
        <v>0</v>
      </c>
    </row>
    <row r="18" spans="1:4" x14ac:dyDescent="0.25">
      <c r="A18" s="2" t="s">
        <v>240</v>
      </c>
    </row>
    <row r="19" spans="1:4" x14ac:dyDescent="0.25">
      <c r="A19" s="4" t="s">
        <v>241</v>
      </c>
      <c r="D19" s="14">
        <f>G16-Calc!$B$35</f>
        <v>0</v>
      </c>
    </row>
    <row r="20" spans="1:4" x14ac:dyDescent="0.25">
      <c r="A20" s="2" t="s">
        <v>242</v>
      </c>
    </row>
  </sheetData>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864"/>
  </sheetPr>
  <dimension ref="B2:E53"/>
  <sheetViews>
    <sheetView showGridLines="0" zoomScaleNormal="100" workbookViewId="0"/>
  </sheetViews>
  <sheetFormatPr defaultColWidth="8.7109375" defaultRowHeight="15" x14ac:dyDescent="0.25"/>
  <cols>
    <col min="2" max="2" width="64" customWidth="1"/>
    <col min="3" max="3" width="7" customWidth="1"/>
    <col min="4" max="5" width="19" customWidth="1"/>
  </cols>
  <sheetData>
    <row r="2" spans="2:5" ht="18" x14ac:dyDescent="0.25">
      <c r="B2" s="1" t="str">
        <f>"Balance Sheet as at "&amp;TEXT(BSD,"dd mmmm yyyy")</f>
        <v>Balance Sheet as at 31 March 2026</v>
      </c>
    </row>
    <row r="3" spans="2:5" x14ac:dyDescent="0.25">
      <c r="B3" s="3" t="str">
        <f>Setup!C5</f>
        <v>M/s Malla Traders</v>
      </c>
      <c r="D3" s="2" t="str">
        <f>Setup!C19</f>
        <v>Amounts in Rs</v>
      </c>
    </row>
    <row r="4" spans="2:5" x14ac:dyDescent="0.25">
      <c r="B4" s="2" t="str">
        <f>IF(Setup!C7="","",IF(ETYPE="LLP","LLPIN: ","Regn No: ")&amp;Setup!C7&amp;"   |   ")&amp;Setup!C9</f>
        <v>Karimnagar, Telangana</v>
      </c>
    </row>
    <row r="5" spans="2:5" x14ac:dyDescent="0.25">
      <c r="B5" s="9" t="s">
        <v>243</v>
      </c>
      <c r="C5" s="9" t="s">
        <v>244</v>
      </c>
      <c r="D5" s="9" t="str">
        <f>"As at "&amp;TEXT(BSD,"dd mmmm yyyy")</f>
        <v>As at 31 March 2026</v>
      </c>
      <c r="E5" s="9" t="str">
        <f>"As at "&amp;TEXT(PBSD,"dd mmmm yyyy")</f>
        <v>As at 31 March 2025</v>
      </c>
    </row>
    <row r="6" spans="2:5" x14ac:dyDescent="0.25">
      <c r="B6" s="7" t="s">
        <v>245</v>
      </c>
    </row>
    <row r="7" spans="2:5" x14ac:dyDescent="0.25">
      <c r="B7" s="7" t="s">
        <v>246</v>
      </c>
    </row>
    <row r="8" spans="2:5" x14ac:dyDescent="0.25">
      <c r="B8" s="4" t="str">
        <f>"    (a) "&amp;CAPLBL</f>
        <v xml:space="preserve">    (a) Partners’ capital accounts</v>
      </c>
      <c r="C8" s="18">
        <v>2</v>
      </c>
      <c r="D8" s="14">
        <f>(-Calc!$B$2+Calc!$B$45)/RND</f>
        <v>0</v>
      </c>
      <c r="E8" s="14">
        <f>(-Calc!$C$2+Calc!$C$45)/RND</f>
        <v>0</v>
      </c>
    </row>
    <row r="9" spans="2:5" x14ac:dyDescent="0.25">
      <c r="B9" s="4" t="s">
        <v>247</v>
      </c>
      <c r="C9" s="18">
        <v>3</v>
      </c>
      <c r="D9" s="14">
        <f>-Calc!$B$3/RND</f>
        <v>0</v>
      </c>
      <c r="E9" s="14">
        <f>-Calc!$C$3/RND</f>
        <v>0</v>
      </c>
    </row>
    <row r="10" spans="2:5" x14ac:dyDescent="0.25">
      <c r="B10" s="7" t="s">
        <v>248</v>
      </c>
    </row>
    <row r="11" spans="2:5" x14ac:dyDescent="0.25">
      <c r="B11" s="4" t="s">
        <v>249</v>
      </c>
      <c r="C11" s="18">
        <v>4</v>
      </c>
      <c r="D11" s="14">
        <f>-Calc!$B$4/RND</f>
        <v>0</v>
      </c>
      <c r="E11" s="14">
        <f>-Calc!$C$4/RND</f>
        <v>0</v>
      </c>
    </row>
    <row r="12" spans="2:5" x14ac:dyDescent="0.25">
      <c r="B12" s="4" t="str">
        <f>"    (b) "&amp;IF(ETYPE="Proprietorship","Loans from related parties","Loans from partners")</f>
        <v xml:space="preserve">    (b) Loans from partners</v>
      </c>
      <c r="C12" s="18">
        <v>5</v>
      </c>
      <c r="D12" s="14">
        <f>-Calc!$B$5/RND</f>
        <v>0</v>
      </c>
      <c r="E12" s="14">
        <f>-Calc!$C$5/RND</f>
        <v>0</v>
      </c>
    </row>
    <row r="13" spans="2:5" x14ac:dyDescent="0.25">
      <c r="B13" s="4" t="s">
        <v>250</v>
      </c>
      <c r="C13" s="18">
        <v>6</v>
      </c>
      <c r="D13" s="14">
        <f>-Calc!$B$6/RND</f>
        <v>0</v>
      </c>
      <c r="E13" s="14">
        <f>-Calc!$C$6/RND</f>
        <v>0</v>
      </c>
    </row>
    <row r="14" spans="2:5" x14ac:dyDescent="0.25">
      <c r="B14" s="4" t="s">
        <v>251</v>
      </c>
      <c r="C14" s="18">
        <v>7</v>
      </c>
      <c r="D14" s="14">
        <f>-Calc!$B$7/RND</f>
        <v>0</v>
      </c>
      <c r="E14" s="14">
        <f>-Calc!$C$7/RND</f>
        <v>0</v>
      </c>
    </row>
    <row r="15" spans="2:5" x14ac:dyDescent="0.25">
      <c r="B15" s="4" t="s">
        <v>252</v>
      </c>
      <c r="C15" s="18">
        <v>8</v>
      </c>
      <c r="D15" s="14">
        <f>-Calc!$B$8/RND</f>
        <v>0</v>
      </c>
      <c r="E15" s="14">
        <f>-Calc!$C$8/RND</f>
        <v>0</v>
      </c>
    </row>
    <row r="16" spans="2:5" x14ac:dyDescent="0.25">
      <c r="B16" s="7" t="s">
        <v>253</v>
      </c>
    </row>
    <row r="17" spans="2:5" x14ac:dyDescent="0.25">
      <c r="B17" s="4" t="s">
        <v>254</v>
      </c>
      <c r="C17" s="18">
        <v>9</v>
      </c>
      <c r="D17" s="14">
        <f>-Calc!$B$9/RND</f>
        <v>0</v>
      </c>
      <c r="E17" s="14">
        <f>-Calc!$C$9/RND</f>
        <v>0</v>
      </c>
    </row>
    <row r="18" spans="2:5" x14ac:dyDescent="0.25">
      <c r="B18" s="4" t="s">
        <v>255</v>
      </c>
      <c r="C18" s="18">
        <v>10</v>
      </c>
    </row>
    <row r="19" spans="2:5" x14ac:dyDescent="0.25">
      <c r="B19" s="4" t="s">
        <v>256</v>
      </c>
      <c r="D19" s="14">
        <f>-Calc!$B$10/RND</f>
        <v>0</v>
      </c>
      <c r="E19" s="14">
        <f>-Calc!$C$10/RND</f>
        <v>0</v>
      </c>
    </row>
    <row r="20" spans="2:5" x14ac:dyDescent="0.25">
      <c r="B20" s="4" t="s">
        <v>257</v>
      </c>
      <c r="D20" s="14">
        <f>-Calc!$B$11/RND</f>
        <v>0</v>
      </c>
      <c r="E20" s="14">
        <f>-Calc!$C$11/RND</f>
        <v>0</v>
      </c>
    </row>
    <row r="21" spans="2:5" x14ac:dyDescent="0.25">
      <c r="B21" s="4" t="s">
        <v>258</v>
      </c>
      <c r="C21" s="18">
        <v>11</v>
      </c>
      <c r="D21" s="14">
        <f>-Calc!$B$12/RND</f>
        <v>0</v>
      </c>
      <c r="E21" s="14">
        <f>-Calc!$C$12/RND</f>
        <v>0</v>
      </c>
    </row>
    <row r="22" spans="2:5" x14ac:dyDescent="0.25">
      <c r="B22" s="4" t="s">
        <v>259</v>
      </c>
      <c r="C22" s="18">
        <v>12</v>
      </c>
      <c r="D22" s="14">
        <f>-Calc!$B$13/RND</f>
        <v>0</v>
      </c>
      <c r="E22" s="14">
        <f>-Calc!$C$13/RND</f>
        <v>0</v>
      </c>
    </row>
    <row r="23" spans="2:5" x14ac:dyDescent="0.25">
      <c r="B23" s="7" t="s">
        <v>260</v>
      </c>
      <c r="D23" s="16">
        <f>SUM(D8:D22)</f>
        <v>0</v>
      </c>
      <c r="E23" s="16">
        <f>SUM(E8:E22)</f>
        <v>0</v>
      </c>
    </row>
    <row r="25" spans="2:5" x14ac:dyDescent="0.25">
      <c r="B25" s="7" t="s">
        <v>261</v>
      </c>
    </row>
    <row r="26" spans="2:5" x14ac:dyDescent="0.25">
      <c r="B26" s="7" t="s">
        <v>262</v>
      </c>
    </row>
    <row r="27" spans="2:5" x14ac:dyDescent="0.25">
      <c r="B27" s="4" t="s">
        <v>263</v>
      </c>
      <c r="C27" s="18">
        <v>13</v>
      </c>
    </row>
    <row r="28" spans="2:5" x14ac:dyDescent="0.25">
      <c r="B28" s="4" t="s">
        <v>264</v>
      </c>
      <c r="D28" s="14">
        <f>Calc!$B$14/RND</f>
        <v>0</v>
      </c>
      <c r="E28" s="14">
        <f>Calc!$C$14/RND</f>
        <v>0</v>
      </c>
    </row>
    <row r="29" spans="2:5" x14ac:dyDescent="0.25">
      <c r="B29" s="4" t="s">
        <v>265</v>
      </c>
      <c r="D29" s="14">
        <f>Calc!$B$15/RND</f>
        <v>0</v>
      </c>
      <c r="E29" s="14">
        <f>Calc!$C$15/RND</f>
        <v>0</v>
      </c>
    </row>
    <row r="30" spans="2:5" x14ac:dyDescent="0.25">
      <c r="B30" s="4" t="s">
        <v>266</v>
      </c>
      <c r="D30" s="14">
        <f>Calc!$B$16/RND</f>
        <v>0</v>
      </c>
      <c r="E30" s="14">
        <f>Calc!$C$16/RND</f>
        <v>0</v>
      </c>
    </row>
    <row r="31" spans="2:5" x14ac:dyDescent="0.25">
      <c r="B31" s="4" t="s">
        <v>267</v>
      </c>
      <c r="D31" s="14">
        <f>Calc!$B$17/RND</f>
        <v>0</v>
      </c>
      <c r="E31" s="14">
        <f>Calc!$C$17/RND</f>
        <v>0</v>
      </c>
    </row>
    <row r="32" spans="2:5" x14ac:dyDescent="0.25">
      <c r="B32" s="4" t="s">
        <v>268</v>
      </c>
      <c r="C32" s="18">
        <v>14</v>
      </c>
      <c r="D32" s="14">
        <f>Calc!$B$18/RND</f>
        <v>0</v>
      </c>
      <c r="E32" s="14">
        <f>Calc!$C$18/RND</f>
        <v>0</v>
      </c>
    </row>
    <row r="33" spans="2:5" x14ac:dyDescent="0.25">
      <c r="B33" s="4" t="s">
        <v>269</v>
      </c>
      <c r="C33" s="18">
        <v>6</v>
      </c>
      <c r="D33" s="14">
        <f>Calc!$B$19/RND</f>
        <v>0</v>
      </c>
      <c r="E33" s="14">
        <f>Calc!$C$19/RND</f>
        <v>0</v>
      </c>
    </row>
    <row r="34" spans="2:5" x14ac:dyDescent="0.25">
      <c r="B34" s="4" t="s">
        <v>270</v>
      </c>
      <c r="C34" s="18">
        <v>15</v>
      </c>
      <c r="D34" s="14">
        <f>Calc!$B$20/RND</f>
        <v>0</v>
      </c>
      <c r="E34" s="14">
        <f>Calc!$C$20/RND</f>
        <v>0</v>
      </c>
    </row>
    <row r="35" spans="2:5" x14ac:dyDescent="0.25">
      <c r="B35" s="4" t="s">
        <v>271</v>
      </c>
      <c r="C35" s="18">
        <v>16</v>
      </c>
      <c r="D35" s="14">
        <f>Calc!$B$21/RND</f>
        <v>0</v>
      </c>
      <c r="E35" s="14">
        <f>Calc!$C$21/RND</f>
        <v>0</v>
      </c>
    </row>
    <row r="36" spans="2:5" x14ac:dyDescent="0.25">
      <c r="B36" s="7" t="s">
        <v>272</v>
      </c>
    </row>
    <row r="37" spans="2:5" x14ac:dyDescent="0.25">
      <c r="B37" s="4" t="s">
        <v>273</v>
      </c>
      <c r="C37" s="18">
        <v>17</v>
      </c>
      <c r="D37" s="14">
        <f>Calc!$B$22/RND</f>
        <v>0</v>
      </c>
      <c r="E37" s="14">
        <f>Calc!$C$22/RND</f>
        <v>0</v>
      </c>
    </row>
    <row r="38" spans="2:5" x14ac:dyDescent="0.25">
      <c r="B38" s="4" t="s">
        <v>274</v>
      </c>
      <c r="C38" s="18">
        <v>18</v>
      </c>
      <c r="D38" s="14">
        <f>Calc!$B$23/RND</f>
        <v>0</v>
      </c>
      <c r="E38" s="14">
        <f>Calc!$C$23/RND</f>
        <v>0</v>
      </c>
    </row>
    <row r="39" spans="2:5" x14ac:dyDescent="0.25">
      <c r="B39" s="4" t="s">
        <v>275</v>
      </c>
      <c r="C39" s="18">
        <v>19</v>
      </c>
      <c r="D39" s="14">
        <f>Calc!$B$24/RND</f>
        <v>0</v>
      </c>
      <c r="E39" s="14">
        <f>Calc!$C$24/RND</f>
        <v>0</v>
      </c>
    </row>
    <row r="40" spans="2:5" x14ac:dyDescent="0.25">
      <c r="B40" s="4" t="s">
        <v>276</v>
      </c>
      <c r="C40" s="18">
        <v>20</v>
      </c>
      <c r="D40" s="14">
        <f>Calc!$B$25/RND</f>
        <v>0</v>
      </c>
      <c r="E40" s="14">
        <f>Calc!$C$25/RND</f>
        <v>0</v>
      </c>
    </row>
    <row r="41" spans="2:5" x14ac:dyDescent="0.25">
      <c r="B41" s="4" t="s">
        <v>277</v>
      </c>
      <c r="C41" s="18">
        <v>21</v>
      </c>
      <c r="D41" s="14">
        <f>Calc!$B$26/RND</f>
        <v>0</v>
      </c>
      <c r="E41" s="14">
        <f>Calc!$C$26/RND</f>
        <v>0</v>
      </c>
    </row>
    <row r="42" spans="2:5" x14ac:dyDescent="0.25">
      <c r="B42" s="4" t="s">
        <v>278</v>
      </c>
      <c r="C42" s="18">
        <v>22</v>
      </c>
      <c r="D42" s="14">
        <f>Calc!$B$27/RND</f>
        <v>0</v>
      </c>
      <c r="E42" s="14">
        <f>Calc!$C$27/RND</f>
        <v>0</v>
      </c>
    </row>
    <row r="43" spans="2:5" x14ac:dyDescent="0.25">
      <c r="B43" s="7" t="s">
        <v>260</v>
      </c>
      <c r="D43" s="16">
        <f>SUM(D28:D42)</f>
        <v>0</v>
      </c>
      <c r="E43" s="16">
        <f>SUM(E28:E42)</f>
        <v>0</v>
      </c>
    </row>
    <row r="45" spans="2:5" x14ac:dyDescent="0.25">
      <c r="B45" s="2" t="s">
        <v>279</v>
      </c>
      <c r="D45" s="14">
        <f>D43-D23</f>
        <v>0</v>
      </c>
      <c r="E45" s="14">
        <f>E43-E23</f>
        <v>0</v>
      </c>
    </row>
    <row r="47" spans="2:5" x14ac:dyDescent="0.25">
      <c r="B47" s="2" t="s">
        <v>280</v>
      </c>
    </row>
    <row r="49" spans="2:4" x14ac:dyDescent="0.25">
      <c r="B49" s="2" t="s">
        <v>281</v>
      </c>
    </row>
    <row r="50" spans="2:4" x14ac:dyDescent="0.25">
      <c r="B50" s="2" t="str">
        <f>"For "&amp;Setup!C34&amp;", Chartered Accountants, FRN "&amp;Setup!C35</f>
        <v xml:space="preserve">For M/s Malla &amp; Associates, Chartered Accountants, FRN </v>
      </c>
      <c r="D50" s="2" t="str">
        <f>"For "&amp;IF(ETYPE="Proprietorship","",IF(ETYPE="LLP","and on behalf of ","and on behalf of "))&amp;Setup!C5</f>
        <v>For and on behalf of M/s Malla Traders</v>
      </c>
    </row>
    <row r="51" spans="2:4" x14ac:dyDescent="0.25">
      <c r="B51" s="2" t="str">
        <f>Setup!C36&amp;", "&amp;Setup!C39&amp;", M.No. "&amp;Setup!C37&amp;IF(Setup!C38="",""," · UDIN "&amp;Setup!C38)</f>
        <v xml:space="preserve">, Proprietor, M.No. </v>
      </c>
      <c r="D51" s="2" t="str">
        <f>IF(Setup!B25="","",Setup!B25&amp;" — "&amp;SIGTTL)</f>
        <v>Suresh Kumar — Partner</v>
      </c>
    </row>
    <row r="52" spans="2:4" x14ac:dyDescent="0.25">
      <c r="D52" s="2" t="str">
        <f>IF(OR(ETYPE="Proprietorship",Setup!B26=""),"",Setup!B26&amp;" — "&amp;SIGTTL)</f>
        <v>Ramesh Rao — Partner</v>
      </c>
    </row>
    <row r="53" spans="2:4" x14ac:dyDescent="0.25">
      <c r="B53" s="2" t="str">
        <f>"Place: "&amp;Setup!C40&amp;"    Date: "&amp;Setup!C41</f>
        <v xml:space="preserve">Place:     Date: </v>
      </c>
    </row>
  </sheetData>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864"/>
  </sheetPr>
  <dimension ref="B2:E34"/>
  <sheetViews>
    <sheetView showGridLines="0" zoomScaleNormal="100" workbookViewId="0"/>
  </sheetViews>
  <sheetFormatPr defaultColWidth="8.7109375" defaultRowHeight="15" x14ac:dyDescent="0.25"/>
  <cols>
    <col min="2" max="2" width="64" customWidth="1"/>
    <col min="3" max="3" width="7" customWidth="1"/>
    <col min="4" max="5" width="19" customWidth="1"/>
  </cols>
  <sheetData>
    <row r="2" spans="2:5" ht="18" x14ac:dyDescent="0.25">
      <c r="B2" s="1" t="str">
        <f>"Statement of Profit and Loss for the year ended "&amp;TEXT(BSD,"dd mmmm yyyy")</f>
        <v>Statement of Profit and Loss for the year ended 31 March 2026</v>
      </c>
    </row>
    <row r="3" spans="2:5" x14ac:dyDescent="0.25">
      <c r="B3" s="3" t="str">
        <f>Setup!C5</f>
        <v>M/s Malla Traders</v>
      </c>
      <c r="D3" s="2" t="str">
        <f>Setup!C19</f>
        <v>Amounts in Rs</v>
      </c>
    </row>
    <row r="5" spans="2:5" x14ac:dyDescent="0.25">
      <c r="B5" s="9" t="s">
        <v>243</v>
      </c>
      <c r="C5" s="9" t="s">
        <v>244</v>
      </c>
      <c r="D5" s="9" t="str">
        <f>"Year ended "&amp;TEXT(BSD,"dd mmmm yyyy")</f>
        <v>Year ended 31 March 2026</v>
      </c>
      <c r="E5" s="9" t="str">
        <f>"Year ended "&amp;TEXT(PBSD,"dd mmmm yyyy")</f>
        <v>Year ended 31 March 2025</v>
      </c>
    </row>
    <row r="6" spans="2:5" x14ac:dyDescent="0.25">
      <c r="B6" s="4" t="s">
        <v>282</v>
      </c>
      <c r="C6" s="18">
        <v>23</v>
      </c>
      <c r="D6" s="14">
        <f>-Calc!$B$28/RND</f>
        <v>0</v>
      </c>
      <c r="E6" s="14">
        <f>-Calc!$C$28/RND</f>
        <v>0</v>
      </c>
    </row>
    <row r="7" spans="2:5" x14ac:dyDescent="0.25">
      <c r="B7" s="4" t="s">
        <v>283</v>
      </c>
      <c r="C7" s="18">
        <v>24</v>
      </c>
      <c r="D7" s="14">
        <f>-Calc!$B$29/RND</f>
        <v>0</v>
      </c>
      <c r="E7" s="14">
        <f>-Calc!$C$29/RND</f>
        <v>0</v>
      </c>
    </row>
    <row r="8" spans="2:5" x14ac:dyDescent="0.25">
      <c r="B8" s="7" t="s">
        <v>284</v>
      </c>
      <c r="D8" s="12">
        <f>D6+D7</f>
        <v>0</v>
      </c>
      <c r="E8" s="12">
        <f>E6+E7</f>
        <v>0</v>
      </c>
    </row>
    <row r="9" spans="2:5" x14ac:dyDescent="0.25">
      <c r="B9" s="7" t="s">
        <v>285</v>
      </c>
    </row>
    <row r="10" spans="2:5" x14ac:dyDescent="0.25">
      <c r="B10" s="4" t="s">
        <v>286</v>
      </c>
      <c r="C10" s="18">
        <v>25</v>
      </c>
      <c r="D10" s="14">
        <f>Calc!$B$30/RND</f>
        <v>0</v>
      </c>
      <c r="E10" s="14">
        <f>Calc!$C$30/RND</f>
        <v>0</v>
      </c>
    </row>
    <row r="11" spans="2:5" x14ac:dyDescent="0.25">
      <c r="B11" s="4" t="s">
        <v>287</v>
      </c>
      <c r="C11" s="18">
        <v>26</v>
      </c>
      <c r="D11" s="14">
        <f>Calc!$B$31/RND</f>
        <v>0</v>
      </c>
      <c r="E11" s="14">
        <f>Calc!$C$31/RND</f>
        <v>0</v>
      </c>
    </row>
    <row r="12" spans="2:5" x14ac:dyDescent="0.25">
      <c r="B12" s="4" t="s">
        <v>288</v>
      </c>
      <c r="C12" s="18">
        <v>27</v>
      </c>
      <c r="D12" s="14">
        <f>Calc!$B$32/RND</f>
        <v>0</v>
      </c>
      <c r="E12" s="14">
        <f>Calc!$C$32/RND</f>
        <v>0</v>
      </c>
    </row>
    <row r="13" spans="2:5" x14ac:dyDescent="0.25">
      <c r="B13" s="4" t="s">
        <v>289</v>
      </c>
      <c r="C13" s="18">
        <v>28</v>
      </c>
      <c r="D13" s="14">
        <f>Calc!$B$33/RND</f>
        <v>0</v>
      </c>
      <c r="E13" s="14">
        <f>Calc!$C$33/RND</f>
        <v>0</v>
      </c>
    </row>
    <row r="14" spans="2:5" x14ac:dyDescent="0.25">
      <c r="B14" s="4" t="s">
        <v>290</v>
      </c>
      <c r="C14" s="18">
        <v>29</v>
      </c>
      <c r="D14" s="14">
        <f>Calc!$B$34/RND</f>
        <v>0</v>
      </c>
      <c r="E14" s="14">
        <f>Calc!$C$34/RND</f>
        <v>0</v>
      </c>
    </row>
    <row r="15" spans="2:5" x14ac:dyDescent="0.25">
      <c r="B15" s="4" t="s">
        <v>291</v>
      </c>
      <c r="D15" s="14">
        <f>Calc!$B$35/RND</f>
        <v>0</v>
      </c>
      <c r="E15" s="14">
        <f>Calc!$C$35/RND</f>
        <v>0</v>
      </c>
    </row>
    <row r="16" spans="2:5" x14ac:dyDescent="0.25">
      <c r="B16" s="4" t="s">
        <v>292</v>
      </c>
      <c r="C16" s="18">
        <v>30</v>
      </c>
      <c r="D16" s="14">
        <f>Calc!$B$36/RND</f>
        <v>0</v>
      </c>
      <c r="E16" s="14">
        <f>Calc!$C$36/RND</f>
        <v>0</v>
      </c>
    </row>
    <row r="17" spans="2:5" x14ac:dyDescent="0.25">
      <c r="B17" s="4" t="s">
        <v>293</v>
      </c>
      <c r="D17" s="14">
        <f>Calc!$B$37/RND</f>
        <v>0</v>
      </c>
      <c r="E17" s="14">
        <f>Calc!$C$37/RND</f>
        <v>0</v>
      </c>
    </row>
    <row r="18" spans="2:5" x14ac:dyDescent="0.25">
      <c r="B18" s="7" t="s">
        <v>294</v>
      </c>
      <c r="D18" s="16">
        <f>SUM(D10:D17)</f>
        <v>0</v>
      </c>
      <c r="E18" s="16">
        <f>SUM(E10:E17)</f>
        <v>0</v>
      </c>
    </row>
    <row r="19" spans="2:5" x14ac:dyDescent="0.25">
      <c r="B19" s="7" t="str">
        <f>"V. "&amp;IF(ETYPE="Proprietorship","Profit before tax (III − IV)","Profit before partners’ interest, remuneration and tax (III − IV)")</f>
        <v>V. Profit before partners’ interest, remuneration and tax (III − IV)</v>
      </c>
      <c r="D19" s="12">
        <f>D8-D18</f>
        <v>0</v>
      </c>
      <c r="E19" s="12">
        <f>E8-E18</f>
        <v>0</v>
      </c>
    </row>
    <row r="20" spans="2:5" x14ac:dyDescent="0.25">
      <c r="B20" s="4" t="s">
        <v>295</v>
      </c>
      <c r="C20" s="18">
        <v>31</v>
      </c>
      <c r="D20" s="14">
        <f>Calc!$B$38/RND</f>
        <v>0</v>
      </c>
      <c r="E20" s="14">
        <f>Calc!$C$38/RND</f>
        <v>0</v>
      </c>
    </row>
    <row r="21" spans="2:5" x14ac:dyDescent="0.25">
      <c r="B21" s="4" t="s">
        <v>296</v>
      </c>
      <c r="C21" s="18">
        <v>32</v>
      </c>
      <c r="D21" s="14">
        <f>Calc!$B$39/RND</f>
        <v>0</v>
      </c>
      <c r="E21" s="14">
        <f>Calc!$C$39/RND</f>
        <v>0</v>
      </c>
    </row>
    <row r="22" spans="2:5" x14ac:dyDescent="0.25">
      <c r="B22" s="7" t="s">
        <v>297</v>
      </c>
      <c r="D22" s="12">
        <f>D19-D20-D21</f>
        <v>0</v>
      </c>
      <c r="E22" s="12">
        <f>E19-E20-E21</f>
        <v>0</v>
      </c>
    </row>
    <row r="23" spans="2:5" x14ac:dyDescent="0.25">
      <c r="B23" s="7" t="s">
        <v>298</v>
      </c>
    </row>
    <row r="24" spans="2:5" x14ac:dyDescent="0.25">
      <c r="B24" s="4" t="s">
        <v>299</v>
      </c>
      <c r="D24" s="14">
        <f>Calc!$B$40/RND</f>
        <v>0</v>
      </c>
      <c r="E24" s="14">
        <f>Calc!$C$40/RND</f>
        <v>0</v>
      </c>
    </row>
    <row r="25" spans="2:5" x14ac:dyDescent="0.25">
      <c r="B25" s="4" t="s">
        <v>300</v>
      </c>
      <c r="C25" s="18">
        <v>6</v>
      </c>
      <c r="D25" s="14">
        <f>Calc!$B$41/RND</f>
        <v>0</v>
      </c>
      <c r="E25" s="14">
        <f>Calc!$C$41/RND</f>
        <v>0</v>
      </c>
    </row>
    <row r="26" spans="2:5" x14ac:dyDescent="0.25">
      <c r="B26" s="7" t="str">
        <f>"VIII. Profit for the year — "&amp;XFRLBL</f>
        <v>VIII. Profit for the year — transferred to partners’ capital accounts</v>
      </c>
      <c r="D26" s="16">
        <f>D22-D24-D25</f>
        <v>0</v>
      </c>
      <c r="E26" s="16">
        <f>E22-E24-E25</f>
        <v>0</v>
      </c>
    </row>
    <row r="28" spans="2:5" x14ac:dyDescent="0.25">
      <c r="B28" s="2" t="s">
        <v>301</v>
      </c>
    </row>
    <row r="30" spans="2:5" x14ac:dyDescent="0.25">
      <c r="B30" s="2" t="s">
        <v>281</v>
      </c>
    </row>
    <row r="31" spans="2:5" x14ac:dyDescent="0.25">
      <c r="B31" s="2" t="str">
        <f>"For "&amp;Setup!C34&amp;", Chartered Accountants, FRN "&amp;Setup!C35</f>
        <v xml:space="preserve">For M/s Malla &amp; Associates, Chartered Accountants, FRN </v>
      </c>
      <c r="D31" s="2" t="str">
        <f>"For "&amp;IF(ETYPE="Proprietorship","",IF(ETYPE="LLP","and on behalf of ","and on behalf of "))&amp;Setup!C5</f>
        <v>For and on behalf of M/s Malla Traders</v>
      </c>
    </row>
    <row r="32" spans="2:5" x14ac:dyDescent="0.25">
      <c r="B32" s="2" t="str">
        <f>Setup!C36&amp;", "&amp;Setup!C39&amp;", M.No. "&amp;Setup!C37&amp;IF(Setup!C38="",""," · UDIN "&amp;Setup!C38)</f>
        <v xml:space="preserve">, Proprietor, M.No. </v>
      </c>
      <c r="D32" s="2" t="str">
        <f>IF(Setup!B25="","",Setup!B25&amp;" — "&amp;SIGTTL)</f>
        <v>Suresh Kumar — Partner</v>
      </c>
    </row>
    <row r="33" spans="2:4" x14ac:dyDescent="0.25">
      <c r="D33" s="2" t="str">
        <f>IF(OR(ETYPE="Proprietorship",Setup!B26=""),"",Setup!B26&amp;" — "&amp;SIGTTL)</f>
        <v>Ramesh Rao — Partner</v>
      </c>
    </row>
    <row r="34" spans="2:4" x14ac:dyDescent="0.25">
      <c r="B34" s="2" t="str">
        <f>"Place: "&amp;Setup!C40&amp;"    Date: "&amp;Setup!C41</f>
        <v xml:space="preserve">Place:     Date: </v>
      </c>
    </row>
  </sheetData>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9D18E"/>
  </sheetPr>
  <dimension ref="B2:J215"/>
  <sheetViews>
    <sheetView showGridLines="0" topLeftCell="A97" zoomScaleNormal="100" workbookViewId="0"/>
  </sheetViews>
  <sheetFormatPr defaultColWidth="8.7109375" defaultRowHeight="15" x14ac:dyDescent="0.25"/>
  <cols>
    <col min="2" max="2" width="46" customWidth="1"/>
    <col min="3" max="3" width="12" customWidth="1"/>
    <col min="4" max="11" width="15" customWidth="1"/>
  </cols>
  <sheetData>
    <row r="2" spans="2:10" ht="18" x14ac:dyDescent="0.25">
      <c r="B2" s="1" t="s">
        <v>302</v>
      </c>
    </row>
    <row r="3" spans="2:10" x14ac:dyDescent="0.25">
      <c r="B3" s="2" t="str">
        <f>Setup!C5&amp;" — "&amp;Setup!C19&amp;". Yellow cells are direct inputs; ledger-wise lines pull automatically from the TB (first five per code, remainder grouped)."</f>
        <v>M/s Malla Traders — Amounts in Rs. Yellow cells are direct inputs; ledger-wise lines pull automatically from the TB (first five per code, remainder grouped).</v>
      </c>
    </row>
    <row r="5" spans="2:10" x14ac:dyDescent="0.25">
      <c r="B5" s="3" t="str">
        <f>"Note 2 — "&amp;CAPLBL</f>
        <v>Note 2 — Partners’ capital accounts</v>
      </c>
    </row>
    <row r="6" spans="2:10" x14ac:dyDescent="0.25">
      <c r="B6" s="9" t="s">
        <v>32</v>
      </c>
      <c r="C6" s="9" t="s">
        <v>205</v>
      </c>
      <c r="D6" s="9" t="s">
        <v>303</v>
      </c>
      <c r="E6" s="9" t="s">
        <v>304</v>
      </c>
      <c r="F6" s="9" t="s">
        <v>208</v>
      </c>
      <c r="G6" s="9" t="s">
        <v>305</v>
      </c>
      <c r="H6" s="9" t="s">
        <v>306</v>
      </c>
      <c r="I6" s="9" t="s">
        <v>307</v>
      </c>
      <c r="J6" s="9" t="s">
        <v>308</v>
      </c>
    </row>
    <row r="7" spans="2:10" x14ac:dyDescent="0.25">
      <c r="B7" s="4" t="str">
        <f>IF(Capital!A6="","",Capital!A6)</f>
        <v>Suresh Kumar</v>
      </c>
      <c r="C7" s="15">
        <f>IF(Capital!A6="","",Capital!B6)</f>
        <v>50</v>
      </c>
      <c r="D7" s="14">
        <f>IF(Capital!$A6="","",Capital!C6/RND)</f>
        <v>0</v>
      </c>
      <c r="E7" s="14">
        <f>IF(Capital!$A6="","",Capital!D6/RND)</f>
        <v>0</v>
      </c>
      <c r="F7" s="14">
        <f>IF(Capital!$A6="","",Capital!E6/RND)</f>
        <v>0</v>
      </c>
      <c r="G7" s="14">
        <f>IF(Capital!$A6="","",Capital!F6/RND)</f>
        <v>0</v>
      </c>
      <c r="H7" s="14">
        <f>IF(Capital!$A6="","",Capital!G6/RND)</f>
        <v>0</v>
      </c>
      <c r="I7" s="14">
        <f>IF(Capital!$A6="","",Capital!H6/RND)</f>
        <v>0</v>
      </c>
      <c r="J7" s="14">
        <f>IF(Capital!$A6="","",Capital!I6/RND)</f>
        <v>0</v>
      </c>
    </row>
    <row r="8" spans="2:10" x14ac:dyDescent="0.25">
      <c r="B8" s="4" t="str">
        <f>IF(Capital!A7="","",Capital!A7)</f>
        <v>Ramesh Rao</v>
      </c>
      <c r="C8" s="15">
        <f>IF(Capital!A7="","",Capital!B7)</f>
        <v>50</v>
      </c>
      <c r="D8" s="14">
        <f>IF(Capital!$A7="","",Capital!C7/RND)</f>
        <v>0</v>
      </c>
      <c r="E8" s="14">
        <f>IF(Capital!$A7="","",Capital!D7/RND)</f>
        <v>0</v>
      </c>
      <c r="F8" s="14">
        <f>IF(Capital!$A7="","",Capital!E7/RND)</f>
        <v>0</v>
      </c>
      <c r="G8" s="14">
        <f>IF(Capital!$A7="","",Capital!F7/RND)</f>
        <v>0</v>
      </c>
      <c r="H8" s="14">
        <f>IF(Capital!$A7="","",Capital!G7/RND)</f>
        <v>0</v>
      </c>
      <c r="I8" s="14">
        <f>IF(Capital!$A7="","",Capital!H7/RND)</f>
        <v>0</v>
      </c>
      <c r="J8" s="14">
        <f>IF(Capital!$A7="","",Capital!I7/RND)</f>
        <v>0</v>
      </c>
    </row>
    <row r="9" spans="2:10" x14ac:dyDescent="0.25">
      <c r="B9" s="4" t="str">
        <f>IF(Capital!A8="","",Capital!A8)</f>
        <v/>
      </c>
      <c r="C9" s="15" t="str">
        <f>IF(Capital!A8="","",Capital!B8)</f>
        <v/>
      </c>
      <c r="D9" s="14" t="str">
        <f>IF(Capital!$A8="","",Capital!C8/RND)</f>
        <v/>
      </c>
      <c r="E9" s="14" t="str">
        <f>IF(Capital!$A8="","",Capital!D8/RND)</f>
        <v/>
      </c>
      <c r="F9" s="14" t="str">
        <f>IF(Capital!$A8="","",Capital!E8/RND)</f>
        <v/>
      </c>
      <c r="G9" s="14" t="str">
        <f>IF(Capital!$A8="","",Capital!F8/RND)</f>
        <v/>
      </c>
      <c r="H9" s="14" t="str">
        <f>IF(Capital!$A8="","",Capital!G8/RND)</f>
        <v/>
      </c>
      <c r="I9" s="14" t="str">
        <f>IF(Capital!$A8="","",Capital!H8/RND)</f>
        <v/>
      </c>
      <c r="J9" s="14" t="str">
        <f>IF(Capital!$A8="","",Capital!I8/RND)</f>
        <v/>
      </c>
    </row>
    <row r="10" spans="2:10" x14ac:dyDescent="0.25">
      <c r="B10" s="4" t="str">
        <f>IF(Capital!A9="","",Capital!A9)</f>
        <v/>
      </c>
      <c r="C10" s="15" t="str">
        <f>IF(Capital!A9="","",Capital!B9)</f>
        <v/>
      </c>
      <c r="D10" s="14" t="str">
        <f>IF(Capital!$A9="","",Capital!C9/RND)</f>
        <v/>
      </c>
      <c r="E10" s="14" t="str">
        <f>IF(Capital!$A9="","",Capital!D9/RND)</f>
        <v/>
      </c>
      <c r="F10" s="14" t="str">
        <f>IF(Capital!$A9="","",Capital!E9/RND)</f>
        <v/>
      </c>
      <c r="G10" s="14" t="str">
        <f>IF(Capital!$A9="","",Capital!F9/RND)</f>
        <v/>
      </c>
      <c r="H10" s="14" t="str">
        <f>IF(Capital!$A9="","",Capital!G9/RND)</f>
        <v/>
      </c>
      <c r="I10" s="14" t="str">
        <f>IF(Capital!$A9="","",Capital!H9/RND)</f>
        <v/>
      </c>
      <c r="J10" s="14" t="str">
        <f>IF(Capital!$A9="","",Capital!I9/RND)</f>
        <v/>
      </c>
    </row>
    <row r="11" spans="2:10" x14ac:dyDescent="0.25">
      <c r="B11" s="4" t="str">
        <f>IF(Capital!A10="","",Capital!A10)</f>
        <v/>
      </c>
      <c r="C11" s="15" t="str">
        <f>IF(Capital!A10="","",Capital!B10)</f>
        <v/>
      </c>
      <c r="D11" s="14" t="str">
        <f>IF(Capital!$A10="","",Capital!C10/RND)</f>
        <v/>
      </c>
      <c r="E11" s="14" t="str">
        <f>IF(Capital!$A10="","",Capital!D10/RND)</f>
        <v/>
      </c>
      <c r="F11" s="14" t="str">
        <f>IF(Capital!$A10="","",Capital!E10/RND)</f>
        <v/>
      </c>
      <c r="G11" s="14" t="str">
        <f>IF(Capital!$A10="","",Capital!F10/RND)</f>
        <v/>
      </c>
      <c r="H11" s="14" t="str">
        <f>IF(Capital!$A10="","",Capital!G10/RND)</f>
        <v/>
      </c>
      <c r="I11" s="14" t="str">
        <f>IF(Capital!$A10="","",Capital!H10/RND)</f>
        <v/>
      </c>
      <c r="J11" s="14" t="str">
        <f>IF(Capital!$A10="","",Capital!I10/RND)</f>
        <v/>
      </c>
    </row>
    <row r="12" spans="2:10" x14ac:dyDescent="0.25">
      <c r="B12" s="4" t="str">
        <f>IF(Capital!A11="","",Capital!A11)</f>
        <v/>
      </c>
      <c r="C12" s="15" t="str">
        <f>IF(Capital!A11="","",Capital!B11)</f>
        <v/>
      </c>
      <c r="D12" s="14" t="str">
        <f>IF(Capital!$A11="","",Capital!C11/RND)</f>
        <v/>
      </c>
      <c r="E12" s="14" t="str">
        <f>IF(Capital!$A11="","",Capital!D11/RND)</f>
        <v/>
      </c>
      <c r="F12" s="14" t="str">
        <f>IF(Capital!$A11="","",Capital!E11/RND)</f>
        <v/>
      </c>
      <c r="G12" s="14" t="str">
        <f>IF(Capital!$A11="","",Capital!F11/RND)</f>
        <v/>
      </c>
      <c r="H12" s="14" t="str">
        <f>IF(Capital!$A11="","",Capital!G11/RND)</f>
        <v/>
      </c>
      <c r="I12" s="14" t="str">
        <f>IF(Capital!$A11="","",Capital!H11/RND)</f>
        <v/>
      </c>
      <c r="J12" s="14" t="str">
        <f>IF(Capital!$A11="","",Capital!I11/RND)</f>
        <v/>
      </c>
    </row>
    <row r="13" spans="2:10" x14ac:dyDescent="0.25">
      <c r="B13" s="7" t="s">
        <v>213</v>
      </c>
      <c r="D13" s="16">
        <f>Capital!C12/RND</f>
        <v>0</v>
      </c>
      <c r="E13" s="16">
        <f>Capital!D12/RND</f>
        <v>0</v>
      </c>
      <c r="F13" s="16">
        <f>Capital!E12/RND</f>
        <v>0</v>
      </c>
      <c r="G13" s="16">
        <f>Capital!F12/RND</f>
        <v>0</v>
      </c>
      <c r="H13" s="16">
        <f>Capital!G12/RND</f>
        <v>0</v>
      </c>
      <c r="I13" s="16">
        <f>Capital!H12/RND</f>
        <v>0</v>
      </c>
      <c r="J13" s="16">
        <f>Capital!I12/RND</f>
        <v>0</v>
      </c>
    </row>
    <row r="14" spans="2:10" x14ac:dyDescent="0.25">
      <c r="B14" s="2" t="s">
        <v>309</v>
      </c>
      <c r="J14" s="14">
        <f>(-Calc!$C$2+Calc!$C$45)/RND</f>
        <v>0</v>
      </c>
    </row>
    <row r="15" spans="2:10" x14ac:dyDescent="0.25">
      <c r="B15" s="2" t="str">
        <f>IF(ETYPE="Proprietorship","Movements in the proprietor’s capital account for the year are set out above.","The "&amp;IF(ETYPE="LLP","LLP","firm")&amp;" maintains fluctuating capital accounts. Interest on capital and remuneration are as authorised by the "&amp;IF(ETYPE="LLP","LLP agreement.","partnership deed."))</f>
        <v>The firm maintains fluctuating capital accounts. Interest on capital and remuneration are as authorised by the partnership deed.</v>
      </c>
    </row>
    <row r="17" spans="2:4" x14ac:dyDescent="0.25">
      <c r="B17" s="3" t="s">
        <v>310</v>
      </c>
    </row>
    <row r="18" spans="2:4" x14ac:dyDescent="0.25">
      <c r="B18" s="7" t="s">
        <v>243</v>
      </c>
      <c r="C18" s="7" t="str">
        <f>"As at "&amp;TEXT(BSD,"dd mmmm yyyy")</f>
        <v>As at 31 March 2026</v>
      </c>
      <c r="D18" s="7" t="str">
        <f>"As at "&amp;TEXT(PBSD,"dd mmmm yyyy")</f>
        <v>As at 31 March 2025</v>
      </c>
    </row>
    <row r="19" spans="2:4" x14ac:dyDescent="0.25">
      <c r="B19" s="4" t="str">
        <f>IFERROR(INDEX(TB!$A$6:$A$225,MATCH("RS#"&amp;1,TB!$H$6:$H$225,0)),"")</f>
        <v/>
      </c>
      <c r="C19" s="14" t="str">
        <f>IF(B19="","",-1*(INDEX(TB!$B$6:$B$225,MATCH("RS#"&amp;1,TB!$H$6:$H$225,0))-INDEX(TB!$C$6:$C$225,MATCH("RS#"&amp;1,TB!$H$6:$H$225,0)))/RND)</f>
        <v/>
      </c>
      <c r="D19" s="14" t="str">
        <f>IF(B19="","",-1*(INDEX(TB!$D$6:$D$225,MATCH("RS#"&amp;1,TB!$H$6:$H$225,0))-INDEX(TB!$E$6:$E$225,MATCH("RS#"&amp;1,TB!$H$6:$H$225,0)))/RND)</f>
        <v/>
      </c>
    </row>
    <row r="20" spans="2:4" x14ac:dyDescent="0.25">
      <c r="B20" s="4" t="str">
        <f>IFERROR(INDEX(TB!$A$6:$A$225,MATCH("RS#"&amp;2,TB!$H$6:$H$225,0)),"")</f>
        <v/>
      </c>
      <c r="C20" s="14" t="str">
        <f>IF(B20="","",-1*(INDEX(TB!$B$6:$B$225,MATCH("RS#"&amp;2,TB!$H$6:$H$225,0))-INDEX(TB!$C$6:$C$225,MATCH("RS#"&amp;2,TB!$H$6:$H$225,0)))/RND)</f>
        <v/>
      </c>
      <c r="D20" s="14" t="str">
        <f>IF(B20="","",-1*(INDEX(TB!$D$6:$D$225,MATCH("RS#"&amp;2,TB!$H$6:$H$225,0))-INDEX(TB!$E$6:$E$225,MATCH("RS#"&amp;2,TB!$H$6:$H$225,0)))/RND)</f>
        <v/>
      </c>
    </row>
    <row r="21" spans="2:4" x14ac:dyDescent="0.25">
      <c r="B21" s="4" t="str">
        <f>IFERROR(INDEX(TB!$A$6:$A$225,MATCH("RS#"&amp;3,TB!$H$6:$H$225,0)),"")</f>
        <v/>
      </c>
      <c r="C21" s="14" t="str">
        <f>IF(B21="","",-1*(INDEX(TB!$B$6:$B$225,MATCH("RS#"&amp;3,TB!$H$6:$H$225,0))-INDEX(TB!$C$6:$C$225,MATCH("RS#"&amp;3,TB!$H$6:$H$225,0)))/RND)</f>
        <v/>
      </c>
      <c r="D21" s="14" t="str">
        <f>IF(B21="","",-1*(INDEX(TB!$D$6:$D$225,MATCH("RS#"&amp;3,TB!$H$6:$H$225,0))-INDEX(TB!$E$6:$E$225,MATCH("RS#"&amp;3,TB!$H$6:$H$225,0)))/RND)</f>
        <v/>
      </c>
    </row>
    <row r="22" spans="2:4" x14ac:dyDescent="0.25">
      <c r="B22" s="4" t="str">
        <f>IFERROR(INDEX(TB!$A$6:$A$225,MATCH("RS#"&amp;4,TB!$H$6:$H$225,0)),"")</f>
        <v/>
      </c>
      <c r="C22" s="14" t="str">
        <f>IF(B22="","",-1*(INDEX(TB!$B$6:$B$225,MATCH("RS#"&amp;4,TB!$H$6:$H$225,0))-INDEX(TB!$C$6:$C$225,MATCH("RS#"&amp;4,TB!$H$6:$H$225,0)))/RND)</f>
        <v/>
      </c>
      <c r="D22" s="14" t="str">
        <f>IF(B22="","",-1*(INDEX(TB!$D$6:$D$225,MATCH("RS#"&amp;4,TB!$H$6:$H$225,0))-INDEX(TB!$E$6:$E$225,MATCH("RS#"&amp;4,TB!$H$6:$H$225,0)))/RND)</f>
        <v/>
      </c>
    </row>
    <row r="23" spans="2:4" x14ac:dyDescent="0.25">
      <c r="B23" s="4" t="str">
        <f>IFERROR(INDEX(TB!$A$6:$A$225,MATCH("RS#"&amp;5,TB!$H$6:$H$225,0)),"")</f>
        <v/>
      </c>
      <c r="C23" s="14" t="str">
        <f>IF(B23="","",-1*(INDEX(TB!$B$6:$B$225,MATCH("RS#"&amp;5,TB!$H$6:$H$225,0))-INDEX(TB!$C$6:$C$225,MATCH("RS#"&amp;5,TB!$H$6:$H$225,0)))/RND)</f>
        <v/>
      </c>
      <c r="D23" s="14" t="str">
        <f>IF(B23="","",-1*(INDEX(TB!$D$6:$D$225,MATCH("RS#"&amp;5,TB!$H$6:$H$225,0))-INDEX(TB!$E$6:$E$225,MATCH("RS#"&amp;5,TB!$H$6:$H$225,0)))/RND)</f>
        <v/>
      </c>
    </row>
    <row r="24" spans="2:4" x14ac:dyDescent="0.25">
      <c r="B24" s="4" t="s">
        <v>311</v>
      </c>
      <c r="C24" s="14">
        <f>-1*Calc!$B$3/RND-SUM(C19:C23)</f>
        <v>0</v>
      </c>
      <c r="D24" s="14">
        <f>-1*Calc!$C$3/RND-SUM(D19:D23)</f>
        <v>0</v>
      </c>
    </row>
    <row r="25" spans="2:4" x14ac:dyDescent="0.25">
      <c r="B25" s="7" t="s">
        <v>213</v>
      </c>
      <c r="C25" s="16">
        <f>-1*Calc!$B$3/RND</f>
        <v>0</v>
      </c>
      <c r="D25" s="16">
        <f>-1*Calc!$C$3/RND</f>
        <v>0</v>
      </c>
    </row>
    <row r="27" spans="2:4" x14ac:dyDescent="0.25">
      <c r="B27" s="3" t="s">
        <v>312</v>
      </c>
    </row>
    <row r="28" spans="2:4" x14ac:dyDescent="0.25">
      <c r="B28" s="7" t="s">
        <v>243</v>
      </c>
      <c r="C28" s="7" t="str">
        <f>"As at "&amp;TEXT(BSD,"dd mmmm yyyy")</f>
        <v>As at 31 March 2026</v>
      </c>
      <c r="D28" s="7" t="str">
        <f>"As at "&amp;TEXT(PBSD,"dd mmmm yyyy")</f>
        <v>As at 31 March 2025</v>
      </c>
    </row>
    <row r="29" spans="2:4" x14ac:dyDescent="0.25">
      <c r="B29" s="4" t="str">
        <f>IFERROR(INDEX(TB!$A$6:$A$225,MATCH("LTB#"&amp;1,TB!$H$6:$H$225,0)),"")</f>
        <v/>
      </c>
      <c r="C29" s="14" t="str">
        <f>IF(B29="","",-1*(INDEX(TB!$B$6:$B$225,MATCH("LTB#"&amp;1,TB!$H$6:$H$225,0))-INDEX(TB!$C$6:$C$225,MATCH("LTB#"&amp;1,TB!$H$6:$H$225,0)))/RND)</f>
        <v/>
      </c>
      <c r="D29" s="14" t="str">
        <f>IF(B29="","",-1*(INDEX(TB!$D$6:$D$225,MATCH("LTB#"&amp;1,TB!$H$6:$H$225,0))-INDEX(TB!$E$6:$E$225,MATCH("LTB#"&amp;1,TB!$H$6:$H$225,0)))/RND)</f>
        <v/>
      </c>
    </row>
    <row r="30" spans="2:4" x14ac:dyDescent="0.25">
      <c r="B30" s="4" t="str">
        <f>IFERROR(INDEX(TB!$A$6:$A$225,MATCH("LTB#"&amp;2,TB!$H$6:$H$225,0)),"")</f>
        <v/>
      </c>
      <c r="C30" s="14" t="str">
        <f>IF(B30="","",-1*(INDEX(TB!$B$6:$B$225,MATCH("LTB#"&amp;2,TB!$H$6:$H$225,0))-INDEX(TB!$C$6:$C$225,MATCH("LTB#"&amp;2,TB!$H$6:$H$225,0)))/RND)</f>
        <v/>
      </c>
      <c r="D30" s="14" t="str">
        <f>IF(B30="","",-1*(INDEX(TB!$D$6:$D$225,MATCH("LTB#"&amp;2,TB!$H$6:$H$225,0))-INDEX(TB!$E$6:$E$225,MATCH("LTB#"&amp;2,TB!$H$6:$H$225,0)))/RND)</f>
        <v/>
      </c>
    </row>
    <row r="31" spans="2:4" x14ac:dyDescent="0.25">
      <c r="B31" s="4" t="str">
        <f>IFERROR(INDEX(TB!$A$6:$A$225,MATCH("LTB#"&amp;3,TB!$H$6:$H$225,0)),"")</f>
        <v/>
      </c>
      <c r="C31" s="14" t="str">
        <f>IF(B31="","",-1*(INDEX(TB!$B$6:$B$225,MATCH("LTB#"&amp;3,TB!$H$6:$H$225,0))-INDEX(TB!$C$6:$C$225,MATCH("LTB#"&amp;3,TB!$H$6:$H$225,0)))/RND)</f>
        <v/>
      </c>
      <c r="D31" s="14" t="str">
        <f>IF(B31="","",-1*(INDEX(TB!$D$6:$D$225,MATCH("LTB#"&amp;3,TB!$H$6:$H$225,0))-INDEX(TB!$E$6:$E$225,MATCH("LTB#"&amp;3,TB!$H$6:$H$225,0)))/RND)</f>
        <v/>
      </c>
    </row>
    <row r="32" spans="2:4" x14ac:dyDescent="0.25">
      <c r="B32" s="4" t="str">
        <f>IFERROR(INDEX(TB!$A$6:$A$225,MATCH("LTB#"&amp;4,TB!$H$6:$H$225,0)),"")</f>
        <v/>
      </c>
      <c r="C32" s="14" t="str">
        <f>IF(B32="","",-1*(INDEX(TB!$B$6:$B$225,MATCH("LTB#"&amp;4,TB!$H$6:$H$225,0))-INDEX(TB!$C$6:$C$225,MATCH("LTB#"&amp;4,TB!$H$6:$H$225,0)))/RND)</f>
        <v/>
      </c>
      <c r="D32" s="14" t="str">
        <f>IF(B32="","",-1*(INDEX(TB!$D$6:$D$225,MATCH("LTB#"&amp;4,TB!$H$6:$H$225,0))-INDEX(TB!$E$6:$E$225,MATCH("LTB#"&amp;4,TB!$H$6:$H$225,0)))/RND)</f>
        <v/>
      </c>
    </row>
    <row r="33" spans="2:4" x14ac:dyDescent="0.25">
      <c r="B33" s="4" t="str">
        <f>IFERROR(INDEX(TB!$A$6:$A$225,MATCH("LTB#"&amp;5,TB!$H$6:$H$225,0)),"")</f>
        <v/>
      </c>
      <c r="C33" s="14" t="str">
        <f>IF(B33="","",-1*(INDEX(TB!$B$6:$B$225,MATCH("LTB#"&amp;5,TB!$H$6:$H$225,0))-INDEX(TB!$C$6:$C$225,MATCH("LTB#"&amp;5,TB!$H$6:$H$225,0)))/RND)</f>
        <v/>
      </c>
      <c r="D33" s="14" t="str">
        <f>IF(B33="","",-1*(INDEX(TB!$D$6:$D$225,MATCH("LTB#"&amp;5,TB!$H$6:$H$225,0))-INDEX(TB!$E$6:$E$225,MATCH("LTB#"&amp;5,TB!$H$6:$H$225,0)))/RND)</f>
        <v/>
      </c>
    </row>
    <row r="34" spans="2:4" x14ac:dyDescent="0.25">
      <c r="B34" s="4" t="s">
        <v>311</v>
      </c>
      <c r="C34" s="14">
        <f>-1*Calc!$B$4/RND-SUM(C29:C33)</f>
        <v>0</v>
      </c>
      <c r="D34" s="14">
        <f>-1*Calc!$C$4/RND-SUM(D29:D33)</f>
        <v>0</v>
      </c>
    </row>
    <row r="35" spans="2:4" x14ac:dyDescent="0.25">
      <c r="B35" s="7" t="s">
        <v>213</v>
      </c>
      <c r="C35" s="16">
        <f>-1*Calc!$B$4/RND</f>
        <v>0</v>
      </c>
      <c r="D35" s="16">
        <f>-1*Calc!$C$4/RND</f>
        <v>0</v>
      </c>
    </row>
    <row r="37" spans="2:4" x14ac:dyDescent="0.25">
      <c r="B37" s="3" t="s">
        <v>313</v>
      </c>
    </row>
    <row r="38" spans="2:4" x14ac:dyDescent="0.25">
      <c r="B38" s="7" t="s">
        <v>243</v>
      </c>
      <c r="C38" s="7" t="str">
        <f>"As at "&amp;TEXT(BSD,"dd mmmm yyyy")</f>
        <v>As at 31 March 2026</v>
      </c>
      <c r="D38" s="7" t="str">
        <f>"As at "&amp;TEXT(PBSD,"dd mmmm yyyy")</f>
        <v>As at 31 March 2025</v>
      </c>
    </row>
    <row r="39" spans="2:4" x14ac:dyDescent="0.25">
      <c r="B39" s="4" t="str">
        <f>IFERROR(INDEX(TB!$A$6:$A$225,MATCH("PARTLOAN#"&amp;1,TB!$H$6:$H$225,0)),"")</f>
        <v/>
      </c>
      <c r="C39" s="14" t="str">
        <f>IF(B39="","",-1*(INDEX(TB!$B$6:$B$225,MATCH("PARTLOAN#"&amp;1,TB!$H$6:$H$225,0))-INDEX(TB!$C$6:$C$225,MATCH("PARTLOAN#"&amp;1,TB!$H$6:$H$225,0)))/RND)</f>
        <v/>
      </c>
      <c r="D39" s="14" t="str">
        <f>IF(B39="","",-1*(INDEX(TB!$D$6:$D$225,MATCH("PARTLOAN#"&amp;1,TB!$H$6:$H$225,0))-INDEX(TB!$E$6:$E$225,MATCH("PARTLOAN#"&amp;1,TB!$H$6:$H$225,0)))/RND)</f>
        <v/>
      </c>
    </row>
    <row r="40" spans="2:4" x14ac:dyDescent="0.25">
      <c r="B40" s="4" t="str">
        <f>IFERROR(INDEX(TB!$A$6:$A$225,MATCH("PARTLOAN#"&amp;2,TB!$H$6:$H$225,0)),"")</f>
        <v/>
      </c>
      <c r="C40" s="14" t="str">
        <f>IF(B40="","",-1*(INDEX(TB!$B$6:$B$225,MATCH("PARTLOAN#"&amp;2,TB!$H$6:$H$225,0))-INDEX(TB!$C$6:$C$225,MATCH("PARTLOAN#"&amp;2,TB!$H$6:$H$225,0)))/RND)</f>
        <v/>
      </c>
      <c r="D40" s="14" t="str">
        <f>IF(B40="","",-1*(INDEX(TB!$D$6:$D$225,MATCH("PARTLOAN#"&amp;2,TB!$H$6:$H$225,0))-INDEX(TB!$E$6:$E$225,MATCH("PARTLOAN#"&amp;2,TB!$H$6:$H$225,0)))/RND)</f>
        <v/>
      </c>
    </row>
    <row r="41" spans="2:4" x14ac:dyDescent="0.25">
      <c r="B41" s="4" t="str">
        <f>IFERROR(INDEX(TB!$A$6:$A$225,MATCH("PARTLOAN#"&amp;3,TB!$H$6:$H$225,0)),"")</f>
        <v/>
      </c>
      <c r="C41" s="14" t="str">
        <f>IF(B41="","",-1*(INDEX(TB!$B$6:$B$225,MATCH("PARTLOAN#"&amp;3,TB!$H$6:$H$225,0))-INDEX(TB!$C$6:$C$225,MATCH("PARTLOAN#"&amp;3,TB!$H$6:$H$225,0)))/RND)</f>
        <v/>
      </c>
      <c r="D41" s="14" t="str">
        <f>IF(B41="","",-1*(INDEX(TB!$D$6:$D$225,MATCH("PARTLOAN#"&amp;3,TB!$H$6:$H$225,0))-INDEX(TB!$E$6:$E$225,MATCH("PARTLOAN#"&amp;3,TB!$H$6:$H$225,0)))/RND)</f>
        <v/>
      </c>
    </row>
    <row r="42" spans="2:4" x14ac:dyDescent="0.25">
      <c r="B42" s="4" t="str">
        <f>IFERROR(INDEX(TB!$A$6:$A$225,MATCH("PARTLOAN#"&amp;4,TB!$H$6:$H$225,0)),"")</f>
        <v/>
      </c>
      <c r="C42" s="14" t="str">
        <f>IF(B42="","",-1*(INDEX(TB!$B$6:$B$225,MATCH("PARTLOAN#"&amp;4,TB!$H$6:$H$225,0))-INDEX(TB!$C$6:$C$225,MATCH("PARTLOAN#"&amp;4,TB!$H$6:$H$225,0)))/RND)</f>
        <v/>
      </c>
      <c r="D42" s="14" t="str">
        <f>IF(B42="","",-1*(INDEX(TB!$D$6:$D$225,MATCH("PARTLOAN#"&amp;4,TB!$H$6:$H$225,0))-INDEX(TB!$E$6:$E$225,MATCH("PARTLOAN#"&amp;4,TB!$H$6:$H$225,0)))/RND)</f>
        <v/>
      </c>
    </row>
    <row r="43" spans="2:4" x14ac:dyDescent="0.25">
      <c r="B43" s="4" t="str">
        <f>IFERROR(INDEX(TB!$A$6:$A$225,MATCH("PARTLOAN#"&amp;5,TB!$H$6:$H$225,0)),"")</f>
        <v/>
      </c>
      <c r="C43" s="14" t="str">
        <f>IF(B43="","",-1*(INDEX(TB!$B$6:$B$225,MATCH("PARTLOAN#"&amp;5,TB!$H$6:$H$225,0))-INDEX(TB!$C$6:$C$225,MATCH("PARTLOAN#"&amp;5,TB!$H$6:$H$225,0)))/RND)</f>
        <v/>
      </c>
      <c r="D43" s="14" t="str">
        <f>IF(B43="","",-1*(INDEX(TB!$D$6:$D$225,MATCH("PARTLOAN#"&amp;5,TB!$H$6:$H$225,0))-INDEX(TB!$E$6:$E$225,MATCH("PARTLOAN#"&amp;5,TB!$H$6:$H$225,0)))/RND)</f>
        <v/>
      </c>
    </row>
    <row r="44" spans="2:4" x14ac:dyDescent="0.25">
      <c r="B44" s="4" t="s">
        <v>311</v>
      </c>
      <c r="C44" s="14">
        <f>-1*Calc!$B$5/RND-SUM(C39:C43)</f>
        <v>0</v>
      </c>
      <c r="D44" s="14">
        <f>-1*Calc!$C$5/RND-SUM(D39:D43)</f>
        <v>0</v>
      </c>
    </row>
    <row r="45" spans="2:4" x14ac:dyDescent="0.25">
      <c r="B45" s="7" t="s">
        <v>213</v>
      </c>
      <c r="C45" s="16">
        <f>-1*Calc!$B$5/RND</f>
        <v>0</v>
      </c>
      <c r="D45" s="16">
        <f>-1*Calc!$C$5/RND</f>
        <v>0</v>
      </c>
    </row>
    <row r="47" spans="2:4" x14ac:dyDescent="0.25">
      <c r="B47" s="3" t="s">
        <v>314</v>
      </c>
    </row>
    <row r="48" spans="2:4" x14ac:dyDescent="0.25">
      <c r="B48" s="7" t="s">
        <v>243</v>
      </c>
      <c r="C48" s="7" t="str">
        <f>"As at "&amp;TEXT(BSD,"dd mmmm yyyy")</f>
        <v>As at 31 March 2026</v>
      </c>
      <c r="D48" s="7" t="str">
        <f>"As at "&amp;TEXT(PBSD,"dd mmmm yyyy")</f>
        <v>As at 31 March 2025</v>
      </c>
    </row>
    <row r="49" spans="2:4" x14ac:dyDescent="0.25">
      <c r="B49" s="4" t="str">
        <f>IFERROR(INDEX(TB!$A$6:$A$225,MATCH("OLTL#"&amp;1,TB!$H$6:$H$225,0)),"")</f>
        <v/>
      </c>
      <c r="C49" s="14" t="str">
        <f>IF(B49="","",-1*(INDEX(TB!$B$6:$B$225,MATCH("OLTL#"&amp;1,TB!$H$6:$H$225,0))-INDEX(TB!$C$6:$C$225,MATCH("OLTL#"&amp;1,TB!$H$6:$H$225,0)))/RND)</f>
        <v/>
      </c>
      <c r="D49" s="14" t="str">
        <f>IF(B49="","",-1*(INDEX(TB!$D$6:$D$225,MATCH("OLTL#"&amp;1,TB!$H$6:$H$225,0))-INDEX(TB!$E$6:$E$225,MATCH("OLTL#"&amp;1,TB!$H$6:$H$225,0)))/RND)</f>
        <v/>
      </c>
    </row>
    <row r="50" spans="2:4" x14ac:dyDescent="0.25">
      <c r="B50" s="4" t="str">
        <f>IFERROR(INDEX(TB!$A$6:$A$225,MATCH("OLTL#"&amp;2,TB!$H$6:$H$225,0)),"")</f>
        <v/>
      </c>
      <c r="C50" s="14" t="str">
        <f>IF(B50="","",-1*(INDEX(TB!$B$6:$B$225,MATCH("OLTL#"&amp;2,TB!$H$6:$H$225,0))-INDEX(TB!$C$6:$C$225,MATCH("OLTL#"&amp;2,TB!$H$6:$H$225,0)))/RND)</f>
        <v/>
      </c>
      <c r="D50" s="14" t="str">
        <f>IF(B50="","",-1*(INDEX(TB!$D$6:$D$225,MATCH("OLTL#"&amp;2,TB!$H$6:$H$225,0))-INDEX(TB!$E$6:$E$225,MATCH("OLTL#"&amp;2,TB!$H$6:$H$225,0)))/RND)</f>
        <v/>
      </c>
    </row>
    <row r="51" spans="2:4" x14ac:dyDescent="0.25">
      <c r="B51" s="4" t="str">
        <f>IFERROR(INDEX(TB!$A$6:$A$225,MATCH("OLTL#"&amp;3,TB!$H$6:$H$225,0)),"")</f>
        <v/>
      </c>
      <c r="C51" s="14" t="str">
        <f>IF(B51="","",-1*(INDEX(TB!$B$6:$B$225,MATCH("OLTL#"&amp;3,TB!$H$6:$H$225,0))-INDEX(TB!$C$6:$C$225,MATCH("OLTL#"&amp;3,TB!$H$6:$H$225,0)))/RND)</f>
        <v/>
      </c>
      <c r="D51" s="14" t="str">
        <f>IF(B51="","",-1*(INDEX(TB!$D$6:$D$225,MATCH("OLTL#"&amp;3,TB!$H$6:$H$225,0))-INDEX(TB!$E$6:$E$225,MATCH("OLTL#"&amp;3,TB!$H$6:$H$225,0)))/RND)</f>
        <v/>
      </c>
    </row>
    <row r="52" spans="2:4" x14ac:dyDescent="0.25">
      <c r="B52" s="4" t="str">
        <f>IFERROR(INDEX(TB!$A$6:$A$225,MATCH("OLTL#"&amp;4,TB!$H$6:$H$225,0)),"")</f>
        <v/>
      </c>
      <c r="C52" s="14" t="str">
        <f>IF(B52="","",-1*(INDEX(TB!$B$6:$B$225,MATCH("OLTL#"&amp;4,TB!$H$6:$H$225,0))-INDEX(TB!$C$6:$C$225,MATCH("OLTL#"&amp;4,TB!$H$6:$H$225,0)))/RND)</f>
        <v/>
      </c>
      <c r="D52" s="14" t="str">
        <f>IF(B52="","",-1*(INDEX(TB!$D$6:$D$225,MATCH("OLTL#"&amp;4,TB!$H$6:$H$225,0))-INDEX(TB!$E$6:$E$225,MATCH("OLTL#"&amp;4,TB!$H$6:$H$225,0)))/RND)</f>
        <v/>
      </c>
    </row>
    <row r="53" spans="2:4" x14ac:dyDescent="0.25">
      <c r="B53" s="4" t="str">
        <f>IFERROR(INDEX(TB!$A$6:$A$225,MATCH("OLTL#"&amp;5,TB!$H$6:$H$225,0)),"")</f>
        <v/>
      </c>
      <c r="C53" s="14" t="str">
        <f>IF(B53="","",-1*(INDEX(TB!$B$6:$B$225,MATCH("OLTL#"&amp;5,TB!$H$6:$H$225,0))-INDEX(TB!$C$6:$C$225,MATCH("OLTL#"&amp;5,TB!$H$6:$H$225,0)))/RND)</f>
        <v/>
      </c>
      <c r="D53" s="14" t="str">
        <f>IF(B53="","",-1*(INDEX(TB!$D$6:$D$225,MATCH("OLTL#"&amp;5,TB!$H$6:$H$225,0))-INDEX(TB!$E$6:$E$225,MATCH("OLTL#"&amp;5,TB!$H$6:$H$225,0)))/RND)</f>
        <v/>
      </c>
    </row>
    <row r="54" spans="2:4" x14ac:dyDescent="0.25">
      <c r="B54" s="4" t="s">
        <v>311</v>
      </c>
      <c r="C54" s="14">
        <f>-1*Calc!$B$7/RND-SUM(C49:C53)</f>
        <v>0</v>
      </c>
      <c r="D54" s="14">
        <f>-1*Calc!$C$7/RND-SUM(D49:D53)</f>
        <v>0</v>
      </c>
    </row>
    <row r="55" spans="2:4" x14ac:dyDescent="0.25">
      <c r="B55" s="7" t="s">
        <v>213</v>
      </c>
      <c r="C55" s="16">
        <f>-1*Calc!$B$7/RND</f>
        <v>0</v>
      </c>
      <c r="D55" s="16">
        <f>-1*Calc!$C$7/RND</f>
        <v>0</v>
      </c>
    </row>
    <row r="57" spans="2:4" x14ac:dyDescent="0.25">
      <c r="B57" s="3" t="s">
        <v>315</v>
      </c>
    </row>
    <row r="58" spans="2:4" x14ac:dyDescent="0.25">
      <c r="B58" s="7" t="s">
        <v>243</v>
      </c>
      <c r="C58" s="7" t="str">
        <f>"As at "&amp;TEXT(BSD,"dd mmmm yyyy")</f>
        <v>As at 31 March 2026</v>
      </c>
      <c r="D58" s="7" t="str">
        <f>"As at "&amp;TEXT(PBSD,"dd mmmm yyyy")</f>
        <v>As at 31 March 2025</v>
      </c>
    </row>
    <row r="59" spans="2:4" x14ac:dyDescent="0.25">
      <c r="B59" s="4" t="str">
        <f>IFERROR(INDEX(TB!$A$6:$A$225,MATCH("LTPROV#"&amp;1,TB!$H$6:$H$225,0)),"")</f>
        <v/>
      </c>
      <c r="C59" s="14" t="str">
        <f>IF(B59="","",-1*(INDEX(TB!$B$6:$B$225,MATCH("LTPROV#"&amp;1,TB!$H$6:$H$225,0))-INDEX(TB!$C$6:$C$225,MATCH("LTPROV#"&amp;1,TB!$H$6:$H$225,0)))/RND)</f>
        <v/>
      </c>
      <c r="D59" s="14" t="str">
        <f>IF(B59="","",-1*(INDEX(TB!$D$6:$D$225,MATCH("LTPROV#"&amp;1,TB!$H$6:$H$225,0))-INDEX(TB!$E$6:$E$225,MATCH("LTPROV#"&amp;1,TB!$H$6:$H$225,0)))/RND)</f>
        <v/>
      </c>
    </row>
    <row r="60" spans="2:4" x14ac:dyDescent="0.25">
      <c r="B60" s="4" t="str">
        <f>IFERROR(INDEX(TB!$A$6:$A$225,MATCH("LTPROV#"&amp;2,TB!$H$6:$H$225,0)),"")</f>
        <v/>
      </c>
      <c r="C60" s="14" t="str">
        <f>IF(B60="","",-1*(INDEX(TB!$B$6:$B$225,MATCH("LTPROV#"&amp;2,TB!$H$6:$H$225,0))-INDEX(TB!$C$6:$C$225,MATCH("LTPROV#"&amp;2,TB!$H$6:$H$225,0)))/RND)</f>
        <v/>
      </c>
      <c r="D60" s="14" t="str">
        <f>IF(B60="","",-1*(INDEX(TB!$D$6:$D$225,MATCH("LTPROV#"&amp;2,TB!$H$6:$H$225,0))-INDEX(TB!$E$6:$E$225,MATCH("LTPROV#"&amp;2,TB!$H$6:$H$225,0)))/RND)</f>
        <v/>
      </c>
    </row>
    <row r="61" spans="2:4" x14ac:dyDescent="0.25">
      <c r="B61" s="4" t="str">
        <f>IFERROR(INDEX(TB!$A$6:$A$225,MATCH("LTPROV#"&amp;3,TB!$H$6:$H$225,0)),"")</f>
        <v/>
      </c>
      <c r="C61" s="14" t="str">
        <f>IF(B61="","",-1*(INDEX(TB!$B$6:$B$225,MATCH("LTPROV#"&amp;3,TB!$H$6:$H$225,0))-INDEX(TB!$C$6:$C$225,MATCH("LTPROV#"&amp;3,TB!$H$6:$H$225,0)))/RND)</f>
        <v/>
      </c>
      <c r="D61" s="14" t="str">
        <f>IF(B61="","",-1*(INDEX(TB!$D$6:$D$225,MATCH("LTPROV#"&amp;3,TB!$H$6:$H$225,0))-INDEX(TB!$E$6:$E$225,MATCH("LTPROV#"&amp;3,TB!$H$6:$H$225,0)))/RND)</f>
        <v/>
      </c>
    </row>
    <row r="62" spans="2:4" x14ac:dyDescent="0.25">
      <c r="B62" s="4" t="str">
        <f>IFERROR(INDEX(TB!$A$6:$A$225,MATCH("LTPROV#"&amp;4,TB!$H$6:$H$225,0)),"")</f>
        <v/>
      </c>
      <c r="C62" s="14" t="str">
        <f>IF(B62="","",-1*(INDEX(TB!$B$6:$B$225,MATCH("LTPROV#"&amp;4,TB!$H$6:$H$225,0))-INDEX(TB!$C$6:$C$225,MATCH("LTPROV#"&amp;4,TB!$H$6:$H$225,0)))/RND)</f>
        <v/>
      </c>
      <c r="D62" s="14" t="str">
        <f>IF(B62="","",-1*(INDEX(TB!$D$6:$D$225,MATCH("LTPROV#"&amp;4,TB!$H$6:$H$225,0))-INDEX(TB!$E$6:$E$225,MATCH("LTPROV#"&amp;4,TB!$H$6:$H$225,0)))/RND)</f>
        <v/>
      </c>
    </row>
    <row r="63" spans="2:4" x14ac:dyDescent="0.25">
      <c r="B63" s="4" t="str">
        <f>IFERROR(INDEX(TB!$A$6:$A$225,MATCH("LTPROV#"&amp;5,TB!$H$6:$H$225,0)),"")</f>
        <v/>
      </c>
      <c r="C63" s="14" t="str">
        <f>IF(B63="","",-1*(INDEX(TB!$B$6:$B$225,MATCH("LTPROV#"&amp;5,TB!$H$6:$H$225,0))-INDEX(TB!$C$6:$C$225,MATCH("LTPROV#"&amp;5,TB!$H$6:$H$225,0)))/RND)</f>
        <v/>
      </c>
      <c r="D63" s="14" t="str">
        <f>IF(B63="","",-1*(INDEX(TB!$D$6:$D$225,MATCH("LTPROV#"&amp;5,TB!$H$6:$H$225,0))-INDEX(TB!$E$6:$E$225,MATCH("LTPROV#"&amp;5,TB!$H$6:$H$225,0)))/RND)</f>
        <v/>
      </c>
    </row>
    <row r="64" spans="2:4" x14ac:dyDescent="0.25">
      <c r="B64" s="4" t="s">
        <v>311</v>
      </c>
      <c r="C64" s="14">
        <f>-1*Calc!$B$8/RND-SUM(C59:C63)</f>
        <v>0</v>
      </c>
      <c r="D64" s="14">
        <f>-1*Calc!$C$8/RND-SUM(D59:D63)</f>
        <v>0</v>
      </c>
    </row>
    <row r="65" spans="2:4" x14ac:dyDescent="0.25">
      <c r="B65" s="7" t="s">
        <v>213</v>
      </c>
      <c r="C65" s="16">
        <f>-1*Calc!$B$8/RND</f>
        <v>0</v>
      </c>
      <c r="D65" s="16">
        <f>-1*Calc!$C$8/RND</f>
        <v>0</v>
      </c>
    </row>
    <row r="67" spans="2:4" x14ac:dyDescent="0.25">
      <c r="B67" s="3" t="s">
        <v>316</v>
      </c>
    </row>
    <row r="68" spans="2:4" x14ac:dyDescent="0.25">
      <c r="B68" s="7" t="s">
        <v>243</v>
      </c>
      <c r="C68" s="7" t="str">
        <f>"As at "&amp;TEXT(BSD,"dd mmmm yyyy")</f>
        <v>As at 31 March 2026</v>
      </c>
      <c r="D68" s="7" t="str">
        <f>"As at "&amp;TEXT(PBSD,"dd mmmm yyyy")</f>
        <v>As at 31 March 2025</v>
      </c>
    </row>
    <row r="69" spans="2:4" x14ac:dyDescent="0.25">
      <c r="B69" s="4" t="str">
        <f>IFERROR(INDEX(TB!$A$6:$A$225,MATCH("STB#"&amp;1,TB!$H$6:$H$225,0)),"")</f>
        <v/>
      </c>
      <c r="C69" s="14" t="str">
        <f>IF(B69="","",-1*(INDEX(TB!$B$6:$B$225,MATCH("STB#"&amp;1,TB!$H$6:$H$225,0))-INDEX(TB!$C$6:$C$225,MATCH("STB#"&amp;1,TB!$H$6:$H$225,0)))/RND)</f>
        <v/>
      </c>
      <c r="D69" s="14" t="str">
        <f>IF(B69="","",-1*(INDEX(TB!$D$6:$D$225,MATCH("STB#"&amp;1,TB!$H$6:$H$225,0))-INDEX(TB!$E$6:$E$225,MATCH("STB#"&amp;1,TB!$H$6:$H$225,0)))/RND)</f>
        <v/>
      </c>
    </row>
    <row r="70" spans="2:4" x14ac:dyDescent="0.25">
      <c r="B70" s="4" t="str">
        <f>IFERROR(INDEX(TB!$A$6:$A$225,MATCH("STB#"&amp;2,TB!$H$6:$H$225,0)),"")</f>
        <v/>
      </c>
      <c r="C70" s="14" t="str">
        <f>IF(B70="","",-1*(INDEX(TB!$B$6:$B$225,MATCH("STB#"&amp;2,TB!$H$6:$H$225,0))-INDEX(TB!$C$6:$C$225,MATCH("STB#"&amp;2,TB!$H$6:$H$225,0)))/RND)</f>
        <v/>
      </c>
      <c r="D70" s="14" t="str">
        <f>IF(B70="","",-1*(INDEX(TB!$D$6:$D$225,MATCH("STB#"&amp;2,TB!$H$6:$H$225,0))-INDEX(TB!$E$6:$E$225,MATCH("STB#"&amp;2,TB!$H$6:$H$225,0)))/RND)</f>
        <v/>
      </c>
    </row>
    <row r="71" spans="2:4" x14ac:dyDescent="0.25">
      <c r="B71" s="4" t="str">
        <f>IFERROR(INDEX(TB!$A$6:$A$225,MATCH("STB#"&amp;3,TB!$H$6:$H$225,0)),"")</f>
        <v/>
      </c>
      <c r="C71" s="14" t="str">
        <f>IF(B71="","",-1*(INDEX(TB!$B$6:$B$225,MATCH("STB#"&amp;3,TB!$H$6:$H$225,0))-INDEX(TB!$C$6:$C$225,MATCH("STB#"&amp;3,TB!$H$6:$H$225,0)))/RND)</f>
        <v/>
      </c>
      <c r="D71" s="14" t="str">
        <f>IF(B71="","",-1*(INDEX(TB!$D$6:$D$225,MATCH("STB#"&amp;3,TB!$H$6:$H$225,0))-INDEX(TB!$E$6:$E$225,MATCH("STB#"&amp;3,TB!$H$6:$H$225,0)))/RND)</f>
        <v/>
      </c>
    </row>
    <row r="72" spans="2:4" x14ac:dyDescent="0.25">
      <c r="B72" s="4" t="str">
        <f>IFERROR(INDEX(TB!$A$6:$A$225,MATCH("STB#"&amp;4,TB!$H$6:$H$225,0)),"")</f>
        <v/>
      </c>
      <c r="C72" s="14" t="str">
        <f>IF(B72="","",-1*(INDEX(TB!$B$6:$B$225,MATCH("STB#"&amp;4,TB!$H$6:$H$225,0))-INDEX(TB!$C$6:$C$225,MATCH("STB#"&amp;4,TB!$H$6:$H$225,0)))/RND)</f>
        <v/>
      </c>
      <c r="D72" s="14" t="str">
        <f>IF(B72="","",-1*(INDEX(TB!$D$6:$D$225,MATCH("STB#"&amp;4,TB!$H$6:$H$225,0))-INDEX(TB!$E$6:$E$225,MATCH("STB#"&amp;4,TB!$H$6:$H$225,0)))/RND)</f>
        <v/>
      </c>
    </row>
    <row r="73" spans="2:4" x14ac:dyDescent="0.25">
      <c r="B73" s="4" t="str">
        <f>IFERROR(INDEX(TB!$A$6:$A$225,MATCH("STB#"&amp;5,TB!$H$6:$H$225,0)),"")</f>
        <v/>
      </c>
      <c r="C73" s="14" t="str">
        <f>IF(B73="","",-1*(INDEX(TB!$B$6:$B$225,MATCH("STB#"&amp;5,TB!$H$6:$H$225,0))-INDEX(TB!$C$6:$C$225,MATCH("STB#"&amp;5,TB!$H$6:$H$225,0)))/RND)</f>
        <v/>
      </c>
      <c r="D73" s="14" t="str">
        <f>IF(B73="","",-1*(INDEX(TB!$D$6:$D$225,MATCH("STB#"&amp;5,TB!$H$6:$H$225,0))-INDEX(TB!$E$6:$E$225,MATCH("STB#"&amp;5,TB!$H$6:$H$225,0)))/RND)</f>
        <v/>
      </c>
    </row>
    <row r="74" spans="2:4" x14ac:dyDescent="0.25">
      <c r="B74" s="4" t="s">
        <v>311</v>
      </c>
      <c r="C74" s="14">
        <f>-1*Calc!$B$9/RND-SUM(C69:C73)</f>
        <v>0</v>
      </c>
      <c r="D74" s="14">
        <f>-1*Calc!$C$9/RND-SUM(D69:D73)</f>
        <v>0</v>
      </c>
    </row>
    <row r="75" spans="2:4" x14ac:dyDescent="0.25">
      <c r="B75" s="7" t="s">
        <v>213</v>
      </c>
      <c r="C75" s="16">
        <f>-1*Calc!$B$9/RND</f>
        <v>0</v>
      </c>
      <c r="D75" s="16">
        <f>-1*Calc!$C$9/RND</f>
        <v>0</v>
      </c>
    </row>
    <row r="77" spans="2:4" x14ac:dyDescent="0.25">
      <c r="B77" s="3" t="s">
        <v>317</v>
      </c>
    </row>
    <row r="78" spans="2:4" x14ac:dyDescent="0.25">
      <c r="B78" s="7" t="s">
        <v>243</v>
      </c>
      <c r="C78" s="7" t="str">
        <f>"As at "&amp;TEXT(BSD,"dd mmmm yyyy")</f>
        <v>As at 31 March 2026</v>
      </c>
      <c r="D78" s="7" t="str">
        <f>"As at "&amp;TEXT(PBSD,"dd mmmm yyyy")</f>
        <v>As at 31 March 2025</v>
      </c>
    </row>
    <row r="79" spans="2:4" x14ac:dyDescent="0.25">
      <c r="B79" s="4" t="str">
        <f>IFERROR(INDEX(TB!$A$6:$A$225,MATCH("OCL#"&amp;1,TB!$H$6:$H$225,0)),"")</f>
        <v/>
      </c>
      <c r="C79" s="14" t="str">
        <f>IF(B79="","",-1*(INDEX(TB!$B$6:$B$225,MATCH("OCL#"&amp;1,TB!$H$6:$H$225,0))-INDEX(TB!$C$6:$C$225,MATCH("OCL#"&amp;1,TB!$H$6:$H$225,0)))/RND)</f>
        <v/>
      </c>
      <c r="D79" s="14" t="str">
        <f>IF(B79="","",-1*(INDEX(TB!$D$6:$D$225,MATCH("OCL#"&amp;1,TB!$H$6:$H$225,0))-INDEX(TB!$E$6:$E$225,MATCH("OCL#"&amp;1,TB!$H$6:$H$225,0)))/RND)</f>
        <v/>
      </c>
    </row>
    <row r="80" spans="2:4" x14ac:dyDescent="0.25">
      <c r="B80" s="4" t="str">
        <f>IFERROR(INDEX(TB!$A$6:$A$225,MATCH("OCL#"&amp;2,TB!$H$6:$H$225,0)),"")</f>
        <v/>
      </c>
      <c r="C80" s="14" t="str">
        <f>IF(B80="","",-1*(INDEX(TB!$B$6:$B$225,MATCH("OCL#"&amp;2,TB!$H$6:$H$225,0))-INDEX(TB!$C$6:$C$225,MATCH("OCL#"&amp;2,TB!$H$6:$H$225,0)))/RND)</f>
        <v/>
      </c>
      <c r="D80" s="14" t="str">
        <f>IF(B80="","",-1*(INDEX(TB!$D$6:$D$225,MATCH("OCL#"&amp;2,TB!$H$6:$H$225,0))-INDEX(TB!$E$6:$E$225,MATCH("OCL#"&amp;2,TB!$H$6:$H$225,0)))/RND)</f>
        <v/>
      </c>
    </row>
    <row r="81" spans="2:4" x14ac:dyDescent="0.25">
      <c r="B81" s="4" t="str">
        <f>IFERROR(INDEX(TB!$A$6:$A$225,MATCH("OCL#"&amp;3,TB!$H$6:$H$225,0)),"")</f>
        <v/>
      </c>
      <c r="C81" s="14" t="str">
        <f>IF(B81="","",-1*(INDEX(TB!$B$6:$B$225,MATCH("OCL#"&amp;3,TB!$H$6:$H$225,0))-INDEX(TB!$C$6:$C$225,MATCH("OCL#"&amp;3,TB!$H$6:$H$225,0)))/RND)</f>
        <v/>
      </c>
      <c r="D81" s="14" t="str">
        <f>IF(B81="","",-1*(INDEX(TB!$D$6:$D$225,MATCH("OCL#"&amp;3,TB!$H$6:$H$225,0))-INDEX(TB!$E$6:$E$225,MATCH("OCL#"&amp;3,TB!$H$6:$H$225,0)))/RND)</f>
        <v/>
      </c>
    </row>
    <row r="82" spans="2:4" x14ac:dyDescent="0.25">
      <c r="B82" s="4" t="str">
        <f>IFERROR(INDEX(TB!$A$6:$A$225,MATCH("OCL#"&amp;4,TB!$H$6:$H$225,0)),"")</f>
        <v/>
      </c>
      <c r="C82" s="14" t="str">
        <f>IF(B82="","",-1*(INDEX(TB!$B$6:$B$225,MATCH("OCL#"&amp;4,TB!$H$6:$H$225,0))-INDEX(TB!$C$6:$C$225,MATCH("OCL#"&amp;4,TB!$H$6:$H$225,0)))/RND)</f>
        <v/>
      </c>
      <c r="D82" s="14" t="str">
        <f>IF(B82="","",-1*(INDEX(TB!$D$6:$D$225,MATCH("OCL#"&amp;4,TB!$H$6:$H$225,0))-INDEX(TB!$E$6:$E$225,MATCH("OCL#"&amp;4,TB!$H$6:$H$225,0)))/RND)</f>
        <v/>
      </c>
    </row>
    <row r="83" spans="2:4" x14ac:dyDescent="0.25">
      <c r="B83" s="4" t="str">
        <f>IFERROR(INDEX(TB!$A$6:$A$225,MATCH("OCL#"&amp;5,TB!$H$6:$H$225,0)),"")</f>
        <v/>
      </c>
      <c r="C83" s="14" t="str">
        <f>IF(B83="","",-1*(INDEX(TB!$B$6:$B$225,MATCH("OCL#"&amp;5,TB!$H$6:$H$225,0))-INDEX(TB!$C$6:$C$225,MATCH("OCL#"&amp;5,TB!$H$6:$H$225,0)))/RND)</f>
        <v/>
      </c>
      <c r="D83" s="14" t="str">
        <f>IF(B83="","",-1*(INDEX(TB!$D$6:$D$225,MATCH("OCL#"&amp;5,TB!$H$6:$H$225,0))-INDEX(TB!$E$6:$E$225,MATCH("OCL#"&amp;5,TB!$H$6:$H$225,0)))/RND)</f>
        <v/>
      </c>
    </row>
    <row r="84" spans="2:4" x14ac:dyDescent="0.25">
      <c r="B84" s="4" t="s">
        <v>311</v>
      </c>
      <c r="C84" s="14">
        <f>-1*Calc!$B$12/RND-SUM(C79:C83)</f>
        <v>0</v>
      </c>
      <c r="D84" s="14">
        <f>-1*Calc!$C$12/RND-SUM(D79:D83)</f>
        <v>0</v>
      </c>
    </row>
    <row r="85" spans="2:4" x14ac:dyDescent="0.25">
      <c r="B85" s="7" t="s">
        <v>213</v>
      </c>
      <c r="C85" s="16">
        <f>-1*Calc!$B$12/RND</f>
        <v>0</v>
      </c>
      <c r="D85" s="16">
        <f>-1*Calc!$C$12/RND</f>
        <v>0</v>
      </c>
    </row>
    <row r="87" spans="2:4" x14ac:dyDescent="0.25">
      <c r="B87" s="3" t="s">
        <v>318</v>
      </c>
    </row>
    <row r="88" spans="2:4" x14ac:dyDescent="0.25">
      <c r="B88" s="7" t="s">
        <v>243</v>
      </c>
      <c r="C88" s="7" t="str">
        <f>"As at "&amp;TEXT(BSD,"dd mmmm yyyy")</f>
        <v>As at 31 March 2026</v>
      </c>
      <c r="D88" s="7" t="str">
        <f>"As at "&amp;TEXT(PBSD,"dd mmmm yyyy")</f>
        <v>As at 31 March 2025</v>
      </c>
    </row>
    <row r="89" spans="2:4" x14ac:dyDescent="0.25">
      <c r="B89" s="4" t="str">
        <f>IFERROR(INDEX(TB!$A$6:$A$225,MATCH("STPROV#"&amp;1,TB!$H$6:$H$225,0)),"")</f>
        <v/>
      </c>
      <c r="C89" s="14" t="str">
        <f>IF(B89="","",-1*(INDEX(TB!$B$6:$B$225,MATCH("STPROV#"&amp;1,TB!$H$6:$H$225,0))-INDEX(TB!$C$6:$C$225,MATCH("STPROV#"&amp;1,TB!$H$6:$H$225,0)))/RND)</f>
        <v/>
      </c>
      <c r="D89" s="14" t="str">
        <f>IF(B89="","",-1*(INDEX(TB!$D$6:$D$225,MATCH("STPROV#"&amp;1,TB!$H$6:$H$225,0))-INDEX(TB!$E$6:$E$225,MATCH("STPROV#"&amp;1,TB!$H$6:$H$225,0)))/RND)</f>
        <v/>
      </c>
    </row>
    <row r="90" spans="2:4" x14ac:dyDescent="0.25">
      <c r="B90" s="4" t="str">
        <f>IFERROR(INDEX(TB!$A$6:$A$225,MATCH("STPROV#"&amp;2,TB!$H$6:$H$225,0)),"")</f>
        <v/>
      </c>
      <c r="C90" s="14" t="str">
        <f>IF(B90="","",-1*(INDEX(TB!$B$6:$B$225,MATCH("STPROV#"&amp;2,TB!$H$6:$H$225,0))-INDEX(TB!$C$6:$C$225,MATCH("STPROV#"&amp;2,TB!$H$6:$H$225,0)))/RND)</f>
        <v/>
      </c>
      <c r="D90" s="14" t="str">
        <f>IF(B90="","",-1*(INDEX(TB!$D$6:$D$225,MATCH("STPROV#"&amp;2,TB!$H$6:$H$225,0))-INDEX(TB!$E$6:$E$225,MATCH("STPROV#"&amp;2,TB!$H$6:$H$225,0)))/RND)</f>
        <v/>
      </c>
    </row>
    <row r="91" spans="2:4" x14ac:dyDescent="0.25">
      <c r="B91" s="4" t="str">
        <f>IFERROR(INDEX(TB!$A$6:$A$225,MATCH("STPROV#"&amp;3,TB!$H$6:$H$225,0)),"")</f>
        <v/>
      </c>
      <c r="C91" s="14" t="str">
        <f>IF(B91="","",-1*(INDEX(TB!$B$6:$B$225,MATCH("STPROV#"&amp;3,TB!$H$6:$H$225,0))-INDEX(TB!$C$6:$C$225,MATCH("STPROV#"&amp;3,TB!$H$6:$H$225,0)))/RND)</f>
        <v/>
      </c>
      <c r="D91" s="14" t="str">
        <f>IF(B91="","",-1*(INDEX(TB!$D$6:$D$225,MATCH("STPROV#"&amp;3,TB!$H$6:$H$225,0))-INDEX(TB!$E$6:$E$225,MATCH("STPROV#"&amp;3,TB!$H$6:$H$225,0)))/RND)</f>
        <v/>
      </c>
    </row>
    <row r="92" spans="2:4" x14ac:dyDescent="0.25">
      <c r="B92" s="4" t="str">
        <f>IFERROR(INDEX(TB!$A$6:$A$225,MATCH("STPROV#"&amp;4,TB!$H$6:$H$225,0)),"")</f>
        <v/>
      </c>
      <c r="C92" s="14" t="str">
        <f>IF(B92="","",-1*(INDEX(TB!$B$6:$B$225,MATCH("STPROV#"&amp;4,TB!$H$6:$H$225,0))-INDEX(TB!$C$6:$C$225,MATCH("STPROV#"&amp;4,TB!$H$6:$H$225,0)))/RND)</f>
        <v/>
      </c>
      <c r="D92" s="14" t="str">
        <f>IF(B92="","",-1*(INDEX(TB!$D$6:$D$225,MATCH("STPROV#"&amp;4,TB!$H$6:$H$225,0))-INDEX(TB!$E$6:$E$225,MATCH("STPROV#"&amp;4,TB!$H$6:$H$225,0)))/RND)</f>
        <v/>
      </c>
    </row>
    <row r="93" spans="2:4" x14ac:dyDescent="0.25">
      <c r="B93" s="4" t="str">
        <f>IFERROR(INDEX(TB!$A$6:$A$225,MATCH("STPROV#"&amp;5,TB!$H$6:$H$225,0)),"")</f>
        <v/>
      </c>
      <c r="C93" s="14" t="str">
        <f>IF(B93="","",-1*(INDEX(TB!$B$6:$B$225,MATCH("STPROV#"&amp;5,TB!$H$6:$H$225,0))-INDEX(TB!$C$6:$C$225,MATCH("STPROV#"&amp;5,TB!$H$6:$H$225,0)))/RND)</f>
        <v/>
      </c>
      <c r="D93" s="14" t="str">
        <f>IF(B93="","",-1*(INDEX(TB!$D$6:$D$225,MATCH("STPROV#"&amp;5,TB!$H$6:$H$225,0))-INDEX(TB!$E$6:$E$225,MATCH("STPROV#"&amp;5,TB!$H$6:$H$225,0)))/RND)</f>
        <v/>
      </c>
    </row>
    <row r="94" spans="2:4" x14ac:dyDescent="0.25">
      <c r="B94" s="4" t="s">
        <v>311</v>
      </c>
      <c r="C94" s="14">
        <f>-1*Calc!$B$13/RND-SUM(C89:C93)</f>
        <v>0</v>
      </c>
      <c r="D94" s="14">
        <f>-1*Calc!$C$13/RND-SUM(D89:D93)</f>
        <v>0</v>
      </c>
    </row>
    <row r="95" spans="2:4" x14ac:dyDescent="0.25">
      <c r="B95" s="7" t="s">
        <v>213</v>
      </c>
      <c r="C95" s="16">
        <f>-1*Calc!$B$13/RND</f>
        <v>0</v>
      </c>
      <c r="D95" s="16">
        <f>-1*Calc!$C$13/RND</f>
        <v>0</v>
      </c>
    </row>
    <row r="97" spans="2:7" x14ac:dyDescent="0.25">
      <c r="B97" s="3" t="s">
        <v>319</v>
      </c>
    </row>
    <row r="98" spans="2:7" x14ac:dyDescent="0.25">
      <c r="B98" s="4" t="s">
        <v>320</v>
      </c>
      <c r="C98" s="14">
        <f>(-Calc!$B$6-Calc!$B$19)/RND</f>
        <v>0</v>
      </c>
      <c r="D98" s="14">
        <f>(-Calc!$C$6-Calc!$C$19)/RND</f>
        <v>0</v>
      </c>
    </row>
    <row r="100" spans="2:7" x14ac:dyDescent="0.25">
      <c r="B100" s="3" t="s">
        <v>321</v>
      </c>
    </row>
    <row r="101" spans="2:7" x14ac:dyDescent="0.25">
      <c r="B101" s="7" t="s">
        <v>243</v>
      </c>
      <c r="C101" s="7" t="str">
        <f>"As at "&amp;TEXT(BSD,"dd mmmm yyyy")</f>
        <v>As at 31 March 2026</v>
      </c>
      <c r="D101" s="7" t="str">
        <f>"As at "&amp;TEXT(PBSD,"dd mmmm yyyy")</f>
        <v>As at 31 March 2025</v>
      </c>
    </row>
    <row r="102" spans="2:7" x14ac:dyDescent="0.25">
      <c r="B102" s="4" t="s">
        <v>322</v>
      </c>
      <c r="C102" s="14">
        <f>-Calc!$B$10/RND</f>
        <v>0</v>
      </c>
      <c r="D102" s="14">
        <f>-Calc!$C$10/RND</f>
        <v>0</v>
      </c>
    </row>
    <row r="103" spans="2:7" x14ac:dyDescent="0.25">
      <c r="B103" s="4" t="s">
        <v>323</v>
      </c>
      <c r="C103" s="14">
        <f>-Calc!$B$11/RND</f>
        <v>0</v>
      </c>
      <c r="D103" s="14">
        <f>-Calc!$C$11/RND</f>
        <v>0</v>
      </c>
    </row>
    <row r="104" spans="2:7" x14ac:dyDescent="0.25">
      <c r="B104" s="7" t="s">
        <v>213</v>
      </c>
      <c r="C104" s="16">
        <f>-(Calc!$B$10+Calc!$B$11)/RND</f>
        <v>0</v>
      </c>
      <c r="D104" s="16">
        <f>-(Calc!$C$10+Calc!$C$11)/RND</f>
        <v>0</v>
      </c>
    </row>
    <row r="106" spans="2:7" x14ac:dyDescent="0.25">
      <c r="B106" s="3" t="s">
        <v>324</v>
      </c>
    </row>
    <row r="107" spans="2:7" x14ac:dyDescent="0.25">
      <c r="B107" s="9" t="s">
        <v>325</v>
      </c>
      <c r="C107" s="9" t="s">
        <v>226</v>
      </c>
      <c r="D107" s="9" t="s">
        <v>326</v>
      </c>
      <c r="E107" s="9" t="s">
        <v>327</v>
      </c>
      <c r="F107" s="9" t="s">
        <v>328</v>
      </c>
      <c r="G107" s="9" t="s">
        <v>329</v>
      </c>
    </row>
    <row r="108" spans="2:7" x14ac:dyDescent="0.25">
      <c r="B108" s="4" t="str">
        <f>IF(Dep!A6="","",Dep!A6)</f>
        <v>Building — office / factory</v>
      </c>
      <c r="C108" s="14">
        <f>IF(Dep!$A6="","",Dep!C6/RND)</f>
        <v>0</v>
      </c>
      <c r="D108" s="14">
        <f>IF(Dep!$A6="","",(Dep!D6+Dep!E6)/RND)</f>
        <v>0</v>
      </c>
      <c r="E108" s="14">
        <f>IF(Dep!$A6="","",Dep!F6/RND)</f>
        <v>0</v>
      </c>
      <c r="F108" s="14">
        <f>IF(Dep!$A6="","",Dep!G6/RND)</f>
        <v>0</v>
      </c>
      <c r="G108" s="14">
        <f>IF(Dep!$A6="","",Dep!H6/RND)</f>
        <v>0</v>
      </c>
    </row>
    <row r="109" spans="2:7" x14ac:dyDescent="0.25">
      <c r="B109" s="4" t="str">
        <f>IF(Dep!A7="","",Dep!A7)</f>
        <v>Building — residential</v>
      </c>
      <c r="C109" s="14">
        <f>IF(Dep!$A7="","",Dep!C7/RND)</f>
        <v>0</v>
      </c>
      <c r="D109" s="14">
        <f>IF(Dep!$A7="","",(Dep!D7+Dep!E7)/RND)</f>
        <v>0</v>
      </c>
      <c r="E109" s="14">
        <f>IF(Dep!$A7="","",Dep!F7/RND)</f>
        <v>0</v>
      </c>
      <c r="F109" s="14">
        <f>IF(Dep!$A7="","",Dep!G7/RND)</f>
        <v>0</v>
      </c>
      <c r="G109" s="14">
        <f>IF(Dep!$A7="","",Dep!H7/RND)</f>
        <v>0</v>
      </c>
    </row>
    <row r="110" spans="2:7" x14ac:dyDescent="0.25">
      <c r="B110" s="4" t="str">
        <f>IF(Dep!A8="","",Dep!A8)</f>
        <v>Furniture and fittings</v>
      </c>
      <c r="C110" s="14">
        <f>IF(Dep!$A8="","",Dep!C8/RND)</f>
        <v>0</v>
      </c>
      <c r="D110" s="14">
        <f>IF(Dep!$A8="","",(Dep!D8+Dep!E8)/RND)</f>
        <v>0</v>
      </c>
      <c r="E110" s="14">
        <f>IF(Dep!$A8="","",Dep!F8/RND)</f>
        <v>0</v>
      </c>
      <c r="F110" s="14">
        <f>IF(Dep!$A8="","",Dep!G8/RND)</f>
        <v>0</v>
      </c>
      <c r="G110" s="14">
        <f>IF(Dep!$A8="","",Dep!H8/RND)</f>
        <v>0</v>
      </c>
    </row>
    <row r="111" spans="2:7" x14ac:dyDescent="0.25">
      <c r="B111" s="4" t="str">
        <f>IF(Dep!A9="","",Dep!A9)</f>
        <v>Plant and machinery — general</v>
      </c>
      <c r="C111" s="14">
        <f>IF(Dep!$A9="","",Dep!C9/RND)</f>
        <v>0</v>
      </c>
      <c r="D111" s="14">
        <f>IF(Dep!$A9="","",(Dep!D9+Dep!E9)/RND)</f>
        <v>0</v>
      </c>
      <c r="E111" s="14">
        <f>IF(Dep!$A9="","",Dep!F9/RND)</f>
        <v>0</v>
      </c>
      <c r="F111" s="14">
        <f>IF(Dep!$A9="","",Dep!G9/RND)</f>
        <v>0</v>
      </c>
      <c r="G111" s="14">
        <f>IF(Dep!$A9="","",Dep!H9/RND)</f>
        <v>0</v>
      </c>
    </row>
    <row r="112" spans="2:7" x14ac:dyDescent="0.25">
      <c r="B112" s="4" t="str">
        <f>IF(Dep!A10="","",Dep!A10)</f>
        <v>Motor cars</v>
      </c>
      <c r="C112" s="14">
        <f>IF(Dep!$A10="","",Dep!C10/RND)</f>
        <v>0</v>
      </c>
      <c r="D112" s="14">
        <f>IF(Dep!$A10="","",(Dep!D10+Dep!E10)/RND)</f>
        <v>0</v>
      </c>
      <c r="E112" s="14">
        <f>IF(Dep!$A10="","",Dep!F10/RND)</f>
        <v>0</v>
      </c>
      <c r="F112" s="14">
        <f>IF(Dep!$A10="","",Dep!G10/RND)</f>
        <v>0</v>
      </c>
      <c r="G112" s="14">
        <f>IF(Dep!$A10="","",Dep!H10/RND)</f>
        <v>0</v>
      </c>
    </row>
    <row r="113" spans="2:7" x14ac:dyDescent="0.25">
      <c r="B113" s="4" t="str">
        <f>IF(Dep!A11="","",Dep!A11)</f>
        <v>Motor vehicles — commercial / hire</v>
      </c>
      <c r="C113" s="14">
        <f>IF(Dep!$A11="","",Dep!C11/RND)</f>
        <v>0</v>
      </c>
      <c r="D113" s="14">
        <f>IF(Dep!$A11="","",(Dep!D11+Dep!E11)/RND)</f>
        <v>0</v>
      </c>
      <c r="E113" s="14">
        <f>IF(Dep!$A11="","",Dep!F11/RND)</f>
        <v>0</v>
      </c>
      <c r="F113" s="14">
        <f>IF(Dep!$A11="","",Dep!G11/RND)</f>
        <v>0</v>
      </c>
      <c r="G113" s="14">
        <f>IF(Dep!$A11="","",Dep!H11/RND)</f>
        <v>0</v>
      </c>
    </row>
    <row r="114" spans="2:7" x14ac:dyDescent="0.25">
      <c r="B114" s="4" t="str">
        <f>IF(Dep!A12="","",Dep!A12)</f>
        <v>Computers and software</v>
      </c>
      <c r="C114" s="14">
        <f>IF(Dep!$A12="","",Dep!C12/RND)</f>
        <v>0</v>
      </c>
      <c r="D114" s="14">
        <f>IF(Dep!$A12="","",(Dep!D12+Dep!E12)/RND)</f>
        <v>0</v>
      </c>
      <c r="E114" s="14">
        <f>IF(Dep!$A12="","",Dep!F12/RND)</f>
        <v>0</v>
      </c>
      <c r="F114" s="14">
        <f>IF(Dep!$A12="","",Dep!G12/RND)</f>
        <v>0</v>
      </c>
      <c r="G114" s="14">
        <f>IF(Dep!$A12="","",Dep!H12/RND)</f>
        <v>0</v>
      </c>
    </row>
    <row r="115" spans="2:7" x14ac:dyDescent="0.25">
      <c r="B115" s="4" t="str">
        <f>IF(Dep!A13="","",Dep!A13)</f>
        <v>Intangible assets</v>
      </c>
      <c r="C115" s="14">
        <f>IF(Dep!$A13="","",Dep!C13/RND)</f>
        <v>0</v>
      </c>
      <c r="D115" s="14">
        <f>IF(Dep!$A13="","",(Dep!D13+Dep!E13)/RND)</f>
        <v>0</v>
      </c>
      <c r="E115" s="14">
        <f>IF(Dep!$A13="","",Dep!F13/RND)</f>
        <v>0</v>
      </c>
      <c r="F115" s="14">
        <f>IF(Dep!$A13="","",Dep!G13/RND)</f>
        <v>0</v>
      </c>
      <c r="G115" s="14">
        <f>IF(Dep!$A13="","",Dep!H13/RND)</f>
        <v>0</v>
      </c>
    </row>
    <row r="116" spans="2:7" x14ac:dyDescent="0.25">
      <c r="B116" s="4" t="str">
        <f>IF(Dep!A14="","",Dep!A14)</f>
        <v/>
      </c>
      <c r="C116" s="14" t="str">
        <f>IF(Dep!$A14="","",Dep!C14/RND)</f>
        <v/>
      </c>
      <c r="D116" s="14" t="str">
        <f>IF(Dep!$A14="","",(Dep!D14+Dep!E14)/RND)</f>
        <v/>
      </c>
      <c r="E116" s="14" t="str">
        <f>IF(Dep!$A14="","",Dep!F14/RND)</f>
        <v/>
      </c>
      <c r="F116" s="14" t="str">
        <f>IF(Dep!$A14="","",Dep!G14/RND)</f>
        <v/>
      </c>
      <c r="G116" s="14" t="str">
        <f>IF(Dep!$A14="","",Dep!H14/RND)</f>
        <v/>
      </c>
    </row>
    <row r="117" spans="2:7" x14ac:dyDescent="0.25">
      <c r="B117" s="4" t="str">
        <f>IF(Dep!A15="","",Dep!A15)</f>
        <v/>
      </c>
      <c r="C117" s="14" t="str">
        <f>IF(Dep!$A15="","",Dep!C15/RND)</f>
        <v/>
      </c>
      <c r="D117" s="14" t="str">
        <f>IF(Dep!$A15="","",(Dep!D15+Dep!E15)/RND)</f>
        <v/>
      </c>
      <c r="E117" s="14" t="str">
        <f>IF(Dep!$A15="","",Dep!F15/RND)</f>
        <v/>
      </c>
      <c r="F117" s="14" t="str">
        <f>IF(Dep!$A15="","",Dep!G15/RND)</f>
        <v/>
      </c>
      <c r="G117" s="14" t="str">
        <f>IF(Dep!$A15="","",Dep!H15/RND)</f>
        <v/>
      </c>
    </row>
    <row r="118" spans="2:7" x14ac:dyDescent="0.25">
      <c r="B118" s="7" t="s">
        <v>213</v>
      </c>
      <c r="C118" s="12">
        <f>Dep!C16/RND</f>
        <v>0</v>
      </c>
      <c r="D118" s="12">
        <f>(Dep!D16+Dep!E16)/RND</f>
        <v>0</v>
      </c>
      <c r="E118" s="12">
        <f>Dep!F16/RND</f>
        <v>0</v>
      </c>
      <c r="F118" s="12">
        <f>Dep!G16/RND</f>
        <v>0</v>
      </c>
      <c r="G118" s="12">
        <f>Dep!H16/RND</f>
        <v>0</v>
      </c>
    </row>
    <row r="119" spans="2:7" x14ac:dyDescent="0.25">
      <c r="B119" s="4" t="s">
        <v>330</v>
      </c>
      <c r="C119" s="14">
        <f>(Calc!$B$14+Calc!$B$15)/RND</f>
        <v>0</v>
      </c>
    </row>
    <row r="120" spans="2:7" x14ac:dyDescent="0.25">
      <c r="B120" s="2" t="s">
        <v>331</v>
      </c>
    </row>
    <row r="122" spans="2:7" x14ac:dyDescent="0.25">
      <c r="B122" s="3" t="s">
        <v>332</v>
      </c>
    </row>
    <row r="123" spans="2:7" x14ac:dyDescent="0.25">
      <c r="B123" s="7" t="s">
        <v>243</v>
      </c>
      <c r="C123" s="7" t="str">
        <f>"As at "&amp;TEXT(BSD,"dd mmmm yyyy")</f>
        <v>As at 31 March 2026</v>
      </c>
      <c r="D123" s="7" t="str">
        <f>"As at "&amp;TEXT(PBSD,"dd mmmm yyyy")</f>
        <v>As at 31 March 2025</v>
      </c>
    </row>
    <row r="124" spans="2:7" x14ac:dyDescent="0.25">
      <c r="B124" s="4" t="str">
        <f>IFERROR(INDEX(TB!$A$6:$A$225,MATCH("NCINV#"&amp;1,TB!$H$6:$H$225,0)),"")</f>
        <v/>
      </c>
      <c r="C124" s="14" t="str">
        <f>IF(B124="","",1*(INDEX(TB!$B$6:$B$225,MATCH("NCINV#"&amp;1,TB!$H$6:$H$225,0))-INDEX(TB!$C$6:$C$225,MATCH("NCINV#"&amp;1,TB!$H$6:$H$225,0)))/RND)</f>
        <v/>
      </c>
      <c r="D124" s="14" t="str">
        <f>IF(B124="","",1*(INDEX(TB!$D$6:$D$225,MATCH("NCINV#"&amp;1,TB!$H$6:$H$225,0))-INDEX(TB!$E$6:$E$225,MATCH("NCINV#"&amp;1,TB!$H$6:$H$225,0)))/RND)</f>
        <v/>
      </c>
    </row>
    <row r="125" spans="2:7" x14ac:dyDescent="0.25">
      <c r="B125" s="4" t="str">
        <f>IFERROR(INDEX(TB!$A$6:$A$225,MATCH("NCINV#"&amp;2,TB!$H$6:$H$225,0)),"")</f>
        <v/>
      </c>
      <c r="C125" s="14" t="str">
        <f>IF(B125="","",1*(INDEX(TB!$B$6:$B$225,MATCH("NCINV#"&amp;2,TB!$H$6:$H$225,0))-INDEX(TB!$C$6:$C$225,MATCH("NCINV#"&amp;2,TB!$H$6:$H$225,0)))/RND)</f>
        <v/>
      </c>
      <c r="D125" s="14" t="str">
        <f>IF(B125="","",1*(INDEX(TB!$D$6:$D$225,MATCH("NCINV#"&amp;2,TB!$H$6:$H$225,0))-INDEX(TB!$E$6:$E$225,MATCH("NCINV#"&amp;2,TB!$H$6:$H$225,0)))/RND)</f>
        <v/>
      </c>
    </row>
    <row r="126" spans="2:7" x14ac:dyDescent="0.25">
      <c r="B126" s="4" t="str">
        <f>IFERROR(INDEX(TB!$A$6:$A$225,MATCH("NCINV#"&amp;3,TB!$H$6:$H$225,0)),"")</f>
        <v/>
      </c>
      <c r="C126" s="14" t="str">
        <f>IF(B126="","",1*(INDEX(TB!$B$6:$B$225,MATCH("NCINV#"&amp;3,TB!$H$6:$H$225,0))-INDEX(TB!$C$6:$C$225,MATCH("NCINV#"&amp;3,TB!$H$6:$H$225,0)))/RND)</f>
        <v/>
      </c>
      <c r="D126" s="14" t="str">
        <f>IF(B126="","",1*(INDEX(TB!$D$6:$D$225,MATCH("NCINV#"&amp;3,TB!$H$6:$H$225,0))-INDEX(TB!$E$6:$E$225,MATCH("NCINV#"&amp;3,TB!$H$6:$H$225,0)))/RND)</f>
        <v/>
      </c>
    </row>
    <row r="127" spans="2:7" x14ac:dyDescent="0.25">
      <c r="B127" s="4" t="str">
        <f>IFERROR(INDEX(TB!$A$6:$A$225,MATCH("NCINV#"&amp;4,TB!$H$6:$H$225,0)),"")</f>
        <v/>
      </c>
      <c r="C127" s="14" t="str">
        <f>IF(B127="","",1*(INDEX(TB!$B$6:$B$225,MATCH("NCINV#"&amp;4,TB!$H$6:$H$225,0))-INDEX(TB!$C$6:$C$225,MATCH("NCINV#"&amp;4,TB!$H$6:$H$225,0)))/RND)</f>
        <v/>
      </c>
      <c r="D127" s="14" t="str">
        <f>IF(B127="","",1*(INDEX(TB!$D$6:$D$225,MATCH("NCINV#"&amp;4,TB!$H$6:$H$225,0))-INDEX(TB!$E$6:$E$225,MATCH("NCINV#"&amp;4,TB!$H$6:$H$225,0)))/RND)</f>
        <v/>
      </c>
    </row>
    <row r="128" spans="2:7" x14ac:dyDescent="0.25">
      <c r="B128" s="4" t="str">
        <f>IFERROR(INDEX(TB!$A$6:$A$225,MATCH("NCINV#"&amp;5,TB!$H$6:$H$225,0)),"")</f>
        <v/>
      </c>
      <c r="C128" s="14" t="str">
        <f>IF(B128="","",1*(INDEX(TB!$B$6:$B$225,MATCH("NCINV#"&amp;5,TB!$H$6:$H$225,0))-INDEX(TB!$C$6:$C$225,MATCH("NCINV#"&amp;5,TB!$H$6:$H$225,0)))/RND)</f>
        <v/>
      </c>
      <c r="D128" s="14" t="str">
        <f>IF(B128="","",1*(INDEX(TB!$D$6:$D$225,MATCH("NCINV#"&amp;5,TB!$H$6:$H$225,0))-INDEX(TB!$E$6:$E$225,MATCH("NCINV#"&amp;5,TB!$H$6:$H$225,0)))/RND)</f>
        <v/>
      </c>
    </row>
    <row r="129" spans="2:4" x14ac:dyDescent="0.25">
      <c r="B129" s="4" t="s">
        <v>311</v>
      </c>
      <c r="C129" s="14">
        <f>1*Calc!$B$18/RND-SUM(C124:C128)</f>
        <v>0</v>
      </c>
      <c r="D129" s="14">
        <f>1*Calc!$C$18/RND-SUM(D124:D128)</f>
        <v>0</v>
      </c>
    </row>
    <row r="130" spans="2:4" x14ac:dyDescent="0.25">
      <c r="B130" s="7" t="s">
        <v>213</v>
      </c>
      <c r="C130" s="16">
        <f>1*Calc!$B$18/RND</f>
        <v>0</v>
      </c>
      <c r="D130" s="16">
        <f>1*Calc!$C$18/RND</f>
        <v>0</v>
      </c>
    </row>
    <row r="132" spans="2:4" x14ac:dyDescent="0.25">
      <c r="B132" s="3" t="s">
        <v>333</v>
      </c>
    </row>
    <row r="133" spans="2:4" x14ac:dyDescent="0.25">
      <c r="B133" s="7" t="s">
        <v>243</v>
      </c>
      <c r="C133" s="7" t="str">
        <f>"As at "&amp;TEXT(BSD,"dd mmmm yyyy")</f>
        <v>As at 31 March 2026</v>
      </c>
      <c r="D133" s="7" t="str">
        <f>"As at "&amp;TEXT(PBSD,"dd mmmm yyyy")</f>
        <v>As at 31 March 2025</v>
      </c>
    </row>
    <row r="134" spans="2:4" x14ac:dyDescent="0.25">
      <c r="B134" s="4" t="str">
        <f>IFERROR(INDEX(TB!$A$6:$A$225,MATCH("LTLA#"&amp;1,TB!$H$6:$H$225,0)),"")</f>
        <v/>
      </c>
      <c r="C134" s="14" t="str">
        <f>IF(B134="","",1*(INDEX(TB!$B$6:$B$225,MATCH("LTLA#"&amp;1,TB!$H$6:$H$225,0))-INDEX(TB!$C$6:$C$225,MATCH("LTLA#"&amp;1,TB!$H$6:$H$225,0)))/RND)</f>
        <v/>
      </c>
      <c r="D134" s="14" t="str">
        <f>IF(B134="","",1*(INDEX(TB!$D$6:$D$225,MATCH("LTLA#"&amp;1,TB!$H$6:$H$225,0))-INDEX(TB!$E$6:$E$225,MATCH("LTLA#"&amp;1,TB!$H$6:$H$225,0)))/RND)</f>
        <v/>
      </c>
    </row>
    <row r="135" spans="2:4" x14ac:dyDescent="0.25">
      <c r="B135" s="4" t="str">
        <f>IFERROR(INDEX(TB!$A$6:$A$225,MATCH("LTLA#"&amp;2,TB!$H$6:$H$225,0)),"")</f>
        <v/>
      </c>
      <c r="C135" s="14" t="str">
        <f>IF(B135="","",1*(INDEX(TB!$B$6:$B$225,MATCH("LTLA#"&amp;2,TB!$H$6:$H$225,0))-INDEX(TB!$C$6:$C$225,MATCH("LTLA#"&amp;2,TB!$H$6:$H$225,0)))/RND)</f>
        <v/>
      </c>
      <c r="D135" s="14" t="str">
        <f>IF(B135="","",1*(INDEX(TB!$D$6:$D$225,MATCH("LTLA#"&amp;2,TB!$H$6:$H$225,0))-INDEX(TB!$E$6:$E$225,MATCH("LTLA#"&amp;2,TB!$H$6:$H$225,0)))/RND)</f>
        <v/>
      </c>
    </row>
    <row r="136" spans="2:4" x14ac:dyDescent="0.25">
      <c r="B136" s="4" t="str">
        <f>IFERROR(INDEX(TB!$A$6:$A$225,MATCH("LTLA#"&amp;3,TB!$H$6:$H$225,0)),"")</f>
        <v/>
      </c>
      <c r="C136" s="14" t="str">
        <f>IF(B136="","",1*(INDEX(TB!$B$6:$B$225,MATCH("LTLA#"&amp;3,TB!$H$6:$H$225,0))-INDEX(TB!$C$6:$C$225,MATCH("LTLA#"&amp;3,TB!$H$6:$H$225,0)))/RND)</f>
        <v/>
      </c>
      <c r="D136" s="14" t="str">
        <f>IF(B136="","",1*(INDEX(TB!$D$6:$D$225,MATCH("LTLA#"&amp;3,TB!$H$6:$H$225,0))-INDEX(TB!$E$6:$E$225,MATCH("LTLA#"&amp;3,TB!$H$6:$H$225,0)))/RND)</f>
        <v/>
      </c>
    </row>
    <row r="137" spans="2:4" x14ac:dyDescent="0.25">
      <c r="B137" s="4" t="str">
        <f>IFERROR(INDEX(TB!$A$6:$A$225,MATCH("LTLA#"&amp;4,TB!$H$6:$H$225,0)),"")</f>
        <v/>
      </c>
      <c r="C137" s="14" t="str">
        <f>IF(B137="","",1*(INDEX(TB!$B$6:$B$225,MATCH("LTLA#"&amp;4,TB!$H$6:$H$225,0))-INDEX(TB!$C$6:$C$225,MATCH("LTLA#"&amp;4,TB!$H$6:$H$225,0)))/RND)</f>
        <v/>
      </c>
      <c r="D137" s="14" t="str">
        <f>IF(B137="","",1*(INDEX(TB!$D$6:$D$225,MATCH("LTLA#"&amp;4,TB!$H$6:$H$225,0))-INDEX(TB!$E$6:$E$225,MATCH("LTLA#"&amp;4,TB!$H$6:$H$225,0)))/RND)</f>
        <v/>
      </c>
    </row>
    <row r="138" spans="2:4" x14ac:dyDescent="0.25">
      <c r="B138" s="4" t="str">
        <f>IFERROR(INDEX(TB!$A$6:$A$225,MATCH("LTLA#"&amp;5,TB!$H$6:$H$225,0)),"")</f>
        <v/>
      </c>
      <c r="C138" s="14" t="str">
        <f>IF(B138="","",1*(INDEX(TB!$B$6:$B$225,MATCH("LTLA#"&amp;5,TB!$H$6:$H$225,0))-INDEX(TB!$C$6:$C$225,MATCH("LTLA#"&amp;5,TB!$H$6:$H$225,0)))/RND)</f>
        <v/>
      </c>
      <c r="D138" s="14" t="str">
        <f>IF(B138="","",1*(INDEX(TB!$D$6:$D$225,MATCH("LTLA#"&amp;5,TB!$H$6:$H$225,0))-INDEX(TB!$E$6:$E$225,MATCH("LTLA#"&amp;5,TB!$H$6:$H$225,0)))/RND)</f>
        <v/>
      </c>
    </row>
    <row r="139" spans="2:4" x14ac:dyDescent="0.25">
      <c r="B139" s="4" t="s">
        <v>311</v>
      </c>
      <c r="C139" s="14">
        <f>1*Calc!$B$20/RND-SUM(C134:C138)</f>
        <v>0</v>
      </c>
      <c r="D139" s="14">
        <f>1*Calc!$C$20/RND-SUM(D134:D138)</f>
        <v>0</v>
      </c>
    </row>
    <row r="140" spans="2:4" x14ac:dyDescent="0.25">
      <c r="B140" s="7" t="s">
        <v>213</v>
      </c>
      <c r="C140" s="16">
        <f>1*Calc!$B$20/RND</f>
        <v>0</v>
      </c>
      <c r="D140" s="16">
        <f>1*Calc!$C$20/RND</f>
        <v>0</v>
      </c>
    </row>
    <row r="142" spans="2:4" x14ac:dyDescent="0.25">
      <c r="B142" s="3" t="s">
        <v>334</v>
      </c>
    </row>
    <row r="143" spans="2:4" x14ac:dyDescent="0.25">
      <c r="B143" s="7" t="s">
        <v>243</v>
      </c>
      <c r="C143" s="7" t="str">
        <f>"As at "&amp;TEXT(BSD,"dd mmmm yyyy")</f>
        <v>As at 31 March 2026</v>
      </c>
      <c r="D143" s="7" t="str">
        <f>"As at "&amp;TEXT(PBSD,"dd mmmm yyyy")</f>
        <v>As at 31 March 2025</v>
      </c>
    </row>
    <row r="144" spans="2:4" x14ac:dyDescent="0.25">
      <c r="B144" s="4" t="str">
        <f>IFERROR(INDEX(TB!$A$6:$A$225,MATCH("ONCA#"&amp;1,TB!$H$6:$H$225,0)),"")</f>
        <v/>
      </c>
      <c r="C144" s="14" t="str">
        <f>IF(B144="","",1*(INDEX(TB!$B$6:$B$225,MATCH("ONCA#"&amp;1,TB!$H$6:$H$225,0))-INDEX(TB!$C$6:$C$225,MATCH("ONCA#"&amp;1,TB!$H$6:$H$225,0)))/RND)</f>
        <v/>
      </c>
      <c r="D144" s="14" t="str">
        <f>IF(B144="","",1*(INDEX(TB!$D$6:$D$225,MATCH("ONCA#"&amp;1,TB!$H$6:$H$225,0))-INDEX(TB!$E$6:$E$225,MATCH("ONCA#"&amp;1,TB!$H$6:$H$225,0)))/RND)</f>
        <v/>
      </c>
    </row>
    <row r="145" spans="2:4" x14ac:dyDescent="0.25">
      <c r="B145" s="4" t="str">
        <f>IFERROR(INDEX(TB!$A$6:$A$225,MATCH("ONCA#"&amp;2,TB!$H$6:$H$225,0)),"")</f>
        <v/>
      </c>
      <c r="C145" s="14" t="str">
        <f>IF(B145="","",1*(INDEX(TB!$B$6:$B$225,MATCH("ONCA#"&amp;2,TB!$H$6:$H$225,0))-INDEX(TB!$C$6:$C$225,MATCH("ONCA#"&amp;2,TB!$H$6:$H$225,0)))/RND)</f>
        <v/>
      </c>
      <c r="D145" s="14" t="str">
        <f>IF(B145="","",1*(INDEX(TB!$D$6:$D$225,MATCH("ONCA#"&amp;2,TB!$H$6:$H$225,0))-INDEX(TB!$E$6:$E$225,MATCH("ONCA#"&amp;2,TB!$H$6:$H$225,0)))/RND)</f>
        <v/>
      </c>
    </row>
    <row r="146" spans="2:4" x14ac:dyDescent="0.25">
      <c r="B146" s="4" t="str">
        <f>IFERROR(INDEX(TB!$A$6:$A$225,MATCH("ONCA#"&amp;3,TB!$H$6:$H$225,0)),"")</f>
        <v/>
      </c>
      <c r="C146" s="14" t="str">
        <f>IF(B146="","",1*(INDEX(TB!$B$6:$B$225,MATCH("ONCA#"&amp;3,TB!$H$6:$H$225,0))-INDEX(TB!$C$6:$C$225,MATCH("ONCA#"&amp;3,TB!$H$6:$H$225,0)))/RND)</f>
        <v/>
      </c>
      <c r="D146" s="14" t="str">
        <f>IF(B146="","",1*(INDEX(TB!$D$6:$D$225,MATCH("ONCA#"&amp;3,TB!$H$6:$H$225,0))-INDEX(TB!$E$6:$E$225,MATCH("ONCA#"&amp;3,TB!$H$6:$H$225,0)))/RND)</f>
        <v/>
      </c>
    </row>
    <row r="147" spans="2:4" x14ac:dyDescent="0.25">
      <c r="B147" s="4" t="str">
        <f>IFERROR(INDEX(TB!$A$6:$A$225,MATCH("ONCA#"&amp;4,TB!$H$6:$H$225,0)),"")</f>
        <v/>
      </c>
      <c r="C147" s="14" t="str">
        <f>IF(B147="","",1*(INDEX(TB!$B$6:$B$225,MATCH("ONCA#"&amp;4,TB!$H$6:$H$225,0))-INDEX(TB!$C$6:$C$225,MATCH("ONCA#"&amp;4,TB!$H$6:$H$225,0)))/RND)</f>
        <v/>
      </c>
      <c r="D147" s="14" t="str">
        <f>IF(B147="","",1*(INDEX(TB!$D$6:$D$225,MATCH("ONCA#"&amp;4,TB!$H$6:$H$225,0))-INDEX(TB!$E$6:$E$225,MATCH("ONCA#"&amp;4,TB!$H$6:$H$225,0)))/RND)</f>
        <v/>
      </c>
    </row>
    <row r="148" spans="2:4" x14ac:dyDescent="0.25">
      <c r="B148" s="4" t="str">
        <f>IFERROR(INDEX(TB!$A$6:$A$225,MATCH("ONCA#"&amp;5,TB!$H$6:$H$225,0)),"")</f>
        <v/>
      </c>
      <c r="C148" s="14" t="str">
        <f>IF(B148="","",1*(INDEX(TB!$B$6:$B$225,MATCH("ONCA#"&amp;5,TB!$H$6:$H$225,0))-INDEX(TB!$C$6:$C$225,MATCH("ONCA#"&amp;5,TB!$H$6:$H$225,0)))/RND)</f>
        <v/>
      </c>
      <c r="D148" s="14" t="str">
        <f>IF(B148="","",1*(INDEX(TB!$D$6:$D$225,MATCH("ONCA#"&amp;5,TB!$H$6:$H$225,0))-INDEX(TB!$E$6:$E$225,MATCH("ONCA#"&amp;5,TB!$H$6:$H$225,0)))/RND)</f>
        <v/>
      </c>
    </row>
    <row r="149" spans="2:4" x14ac:dyDescent="0.25">
      <c r="B149" s="4" t="s">
        <v>311</v>
      </c>
      <c r="C149" s="14">
        <f>1*Calc!$B$21/RND-SUM(C144:C148)</f>
        <v>0</v>
      </c>
      <c r="D149" s="14">
        <f>1*Calc!$C$21/RND-SUM(D144:D148)</f>
        <v>0</v>
      </c>
    </row>
    <row r="150" spans="2:4" x14ac:dyDescent="0.25">
      <c r="B150" s="7" t="s">
        <v>213</v>
      </c>
      <c r="C150" s="16">
        <f>1*Calc!$B$21/RND</f>
        <v>0</v>
      </c>
      <c r="D150" s="16">
        <f>1*Calc!$C$21/RND</f>
        <v>0</v>
      </c>
    </row>
    <row r="152" spans="2:4" x14ac:dyDescent="0.25">
      <c r="B152" s="3" t="s">
        <v>335</v>
      </c>
    </row>
    <row r="153" spans="2:4" x14ac:dyDescent="0.25">
      <c r="B153" s="7" t="s">
        <v>243</v>
      </c>
      <c r="C153" s="7" t="str">
        <f>"As at "&amp;TEXT(BSD,"dd mmmm yyyy")</f>
        <v>As at 31 March 2026</v>
      </c>
      <c r="D153" s="7" t="str">
        <f>"As at "&amp;TEXT(PBSD,"dd mmmm yyyy")</f>
        <v>As at 31 March 2025</v>
      </c>
    </row>
    <row r="154" spans="2:4" x14ac:dyDescent="0.25">
      <c r="B154" s="4" t="str">
        <f>IFERROR(INDEX(TB!$A$6:$A$225,MATCH("CINV#"&amp;1,TB!$H$6:$H$225,0)),"")</f>
        <v/>
      </c>
      <c r="C154" s="14" t="str">
        <f>IF(B154="","",1*(INDEX(TB!$B$6:$B$225,MATCH("CINV#"&amp;1,TB!$H$6:$H$225,0))-INDEX(TB!$C$6:$C$225,MATCH("CINV#"&amp;1,TB!$H$6:$H$225,0)))/RND)</f>
        <v/>
      </c>
      <c r="D154" s="14" t="str">
        <f>IF(B154="","",1*(INDEX(TB!$D$6:$D$225,MATCH("CINV#"&amp;1,TB!$H$6:$H$225,0))-INDEX(TB!$E$6:$E$225,MATCH("CINV#"&amp;1,TB!$H$6:$H$225,0)))/RND)</f>
        <v/>
      </c>
    </row>
    <row r="155" spans="2:4" x14ac:dyDescent="0.25">
      <c r="B155" s="4" t="str">
        <f>IFERROR(INDEX(TB!$A$6:$A$225,MATCH("CINV#"&amp;2,TB!$H$6:$H$225,0)),"")</f>
        <v/>
      </c>
      <c r="C155" s="14" t="str">
        <f>IF(B155="","",1*(INDEX(TB!$B$6:$B$225,MATCH("CINV#"&amp;2,TB!$H$6:$H$225,0))-INDEX(TB!$C$6:$C$225,MATCH("CINV#"&amp;2,TB!$H$6:$H$225,0)))/RND)</f>
        <v/>
      </c>
      <c r="D155" s="14" t="str">
        <f>IF(B155="","",1*(INDEX(TB!$D$6:$D$225,MATCH("CINV#"&amp;2,TB!$H$6:$H$225,0))-INDEX(TB!$E$6:$E$225,MATCH("CINV#"&amp;2,TB!$H$6:$H$225,0)))/RND)</f>
        <v/>
      </c>
    </row>
    <row r="156" spans="2:4" x14ac:dyDescent="0.25">
      <c r="B156" s="4" t="str">
        <f>IFERROR(INDEX(TB!$A$6:$A$225,MATCH("CINV#"&amp;3,TB!$H$6:$H$225,0)),"")</f>
        <v/>
      </c>
      <c r="C156" s="14" t="str">
        <f>IF(B156="","",1*(INDEX(TB!$B$6:$B$225,MATCH("CINV#"&amp;3,TB!$H$6:$H$225,0))-INDEX(TB!$C$6:$C$225,MATCH("CINV#"&amp;3,TB!$H$6:$H$225,0)))/RND)</f>
        <v/>
      </c>
      <c r="D156" s="14" t="str">
        <f>IF(B156="","",1*(INDEX(TB!$D$6:$D$225,MATCH("CINV#"&amp;3,TB!$H$6:$H$225,0))-INDEX(TB!$E$6:$E$225,MATCH("CINV#"&amp;3,TB!$H$6:$H$225,0)))/RND)</f>
        <v/>
      </c>
    </row>
    <row r="157" spans="2:4" x14ac:dyDescent="0.25">
      <c r="B157" s="4" t="str">
        <f>IFERROR(INDEX(TB!$A$6:$A$225,MATCH("CINV#"&amp;4,TB!$H$6:$H$225,0)),"")</f>
        <v/>
      </c>
      <c r="C157" s="14" t="str">
        <f>IF(B157="","",1*(INDEX(TB!$B$6:$B$225,MATCH("CINV#"&amp;4,TB!$H$6:$H$225,0))-INDEX(TB!$C$6:$C$225,MATCH("CINV#"&amp;4,TB!$H$6:$H$225,0)))/RND)</f>
        <v/>
      </c>
      <c r="D157" s="14" t="str">
        <f>IF(B157="","",1*(INDEX(TB!$D$6:$D$225,MATCH("CINV#"&amp;4,TB!$H$6:$H$225,0))-INDEX(TB!$E$6:$E$225,MATCH("CINV#"&amp;4,TB!$H$6:$H$225,0)))/RND)</f>
        <v/>
      </c>
    </row>
    <row r="158" spans="2:4" x14ac:dyDescent="0.25">
      <c r="B158" s="4" t="str">
        <f>IFERROR(INDEX(TB!$A$6:$A$225,MATCH("CINV#"&amp;5,TB!$H$6:$H$225,0)),"")</f>
        <v/>
      </c>
      <c r="C158" s="14" t="str">
        <f>IF(B158="","",1*(INDEX(TB!$B$6:$B$225,MATCH("CINV#"&amp;5,TB!$H$6:$H$225,0))-INDEX(TB!$C$6:$C$225,MATCH("CINV#"&amp;5,TB!$H$6:$H$225,0)))/RND)</f>
        <v/>
      </c>
      <c r="D158" s="14" t="str">
        <f>IF(B158="","",1*(INDEX(TB!$D$6:$D$225,MATCH("CINV#"&amp;5,TB!$H$6:$H$225,0))-INDEX(TB!$E$6:$E$225,MATCH("CINV#"&amp;5,TB!$H$6:$H$225,0)))/RND)</f>
        <v/>
      </c>
    </row>
    <row r="159" spans="2:4" x14ac:dyDescent="0.25">
      <c r="B159" s="4" t="s">
        <v>311</v>
      </c>
      <c r="C159" s="14">
        <f>1*Calc!$B$22/RND-SUM(C154:C158)</f>
        <v>0</v>
      </c>
      <c r="D159" s="14">
        <f>1*Calc!$C$22/RND-SUM(D154:D158)</f>
        <v>0</v>
      </c>
    </row>
    <row r="160" spans="2:4" x14ac:dyDescent="0.25">
      <c r="B160" s="7" t="s">
        <v>213</v>
      </c>
      <c r="C160" s="16">
        <f>1*Calc!$B$22/RND</f>
        <v>0</v>
      </c>
      <c r="D160" s="16">
        <f>1*Calc!$C$22/RND</f>
        <v>0</v>
      </c>
    </row>
    <row r="162" spans="2:4" x14ac:dyDescent="0.25">
      <c r="B162" s="3" t="s">
        <v>336</v>
      </c>
    </row>
    <row r="163" spans="2:4" x14ac:dyDescent="0.25">
      <c r="B163" s="7" t="s">
        <v>243</v>
      </c>
      <c r="C163" s="7" t="str">
        <f>"As at "&amp;TEXT(BSD,"dd mmmm yyyy")</f>
        <v>As at 31 March 2026</v>
      </c>
      <c r="D163" s="7" t="str">
        <f>"As at "&amp;TEXT(PBSD,"dd mmmm yyyy")</f>
        <v>As at 31 March 2025</v>
      </c>
    </row>
    <row r="164" spans="2:4" x14ac:dyDescent="0.25">
      <c r="B164" s="4" t="str">
        <f>IFERROR(INDEX(TB!$A$6:$A$225,MATCH("INVTY#"&amp;1,TB!$H$6:$H$225,0)),"")</f>
        <v/>
      </c>
      <c r="C164" s="14" t="str">
        <f>IF(B164="","",1*(INDEX(TB!$B$6:$B$225,MATCH("INVTY#"&amp;1,TB!$H$6:$H$225,0))-INDEX(TB!$C$6:$C$225,MATCH("INVTY#"&amp;1,TB!$H$6:$H$225,0)))/RND)</f>
        <v/>
      </c>
      <c r="D164" s="14" t="str">
        <f>IF(B164="","",1*(INDEX(TB!$D$6:$D$225,MATCH("INVTY#"&amp;1,TB!$H$6:$H$225,0))-INDEX(TB!$E$6:$E$225,MATCH("INVTY#"&amp;1,TB!$H$6:$H$225,0)))/RND)</f>
        <v/>
      </c>
    </row>
    <row r="165" spans="2:4" x14ac:dyDescent="0.25">
      <c r="B165" s="4" t="str">
        <f>IFERROR(INDEX(TB!$A$6:$A$225,MATCH("INVTY#"&amp;2,TB!$H$6:$H$225,0)),"")</f>
        <v/>
      </c>
      <c r="C165" s="14" t="str">
        <f>IF(B165="","",1*(INDEX(TB!$B$6:$B$225,MATCH("INVTY#"&amp;2,TB!$H$6:$H$225,0))-INDEX(TB!$C$6:$C$225,MATCH("INVTY#"&amp;2,TB!$H$6:$H$225,0)))/RND)</f>
        <v/>
      </c>
      <c r="D165" s="14" t="str">
        <f>IF(B165="","",1*(INDEX(TB!$D$6:$D$225,MATCH("INVTY#"&amp;2,TB!$H$6:$H$225,0))-INDEX(TB!$E$6:$E$225,MATCH("INVTY#"&amp;2,TB!$H$6:$H$225,0)))/RND)</f>
        <v/>
      </c>
    </row>
    <row r="166" spans="2:4" x14ac:dyDescent="0.25">
      <c r="B166" s="4" t="str">
        <f>IFERROR(INDEX(TB!$A$6:$A$225,MATCH("INVTY#"&amp;3,TB!$H$6:$H$225,0)),"")</f>
        <v/>
      </c>
      <c r="C166" s="14" t="str">
        <f>IF(B166="","",1*(INDEX(TB!$B$6:$B$225,MATCH("INVTY#"&amp;3,TB!$H$6:$H$225,0))-INDEX(TB!$C$6:$C$225,MATCH("INVTY#"&amp;3,TB!$H$6:$H$225,0)))/RND)</f>
        <v/>
      </c>
      <c r="D166" s="14" t="str">
        <f>IF(B166="","",1*(INDEX(TB!$D$6:$D$225,MATCH("INVTY#"&amp;3,TB!$H$6:$H$225,0))-INDEX(TB!$E$6:$E$225,MATCH("INVTY#"&amp;3,TB!$H$6:$H$225,0)))/RND)</f>
        <v/>
      </c>
    </row>
    <row r="167" spans="2:4" x14ac:dyDescent="0.25">
      <c r="B167" s="4" t="str">
        <f>IFERROR(INDEX(TB!$A$6:$A$225,MATCH("INVTY#"&amp;4,TB!$H$6:$H$225,0)),"")</f>
        <v/>
      </c>
      <c r="C167" s="14" t="str">
        <f>IF(B167="","",1*(INDEX(TB!$B$6:$B$225,MATCH("INVTY#"&amp;4,TB!$H$6:$H$225,0))-INDEX(TB!$C$6:$C$225,MATCH("INVTY#"&amp;4,TB!$H$6:$H$225,0)))/RND)</f>
        <v/>
      </c>
      <c r="D167" s="14" t="str">
        <f>IF(B167="","",1*(INDEX(TB!$D$6:$D$225,MATCH("INVTY#"&amp;4,TB!$H$6:$H$225,0))-INDEX(TB!$E$6:$E$225,MATCH("INVTY#"&amp;4,TB!$H$6:$H$225,0)))/RND)</f>
        <v/>
      </c>
    </row>
    <row r="168" spans="2:4" x14ac:dyDescent="0.25">
      <c r="B168" s="4" t="str">
        <f>IFERROR(INDEX(TB!$A$6:$A$225,MATCH("INVTY#"&amp;5,TB!$H$6:$H$225,0)),"")</f>
        <v/>
      </c>
      <c r="C168" s="14" t="str">
        <f>IF(B168="","",1*(INDEX(TB!$B$6:$B$225,MATCH("INVTY#"&amp;5,TB!$H$6:$H$225,0))-INDEX(TB!$C$6:$C$225,MATCH("INVTY#"&amp;5,TB!$H$6:$H$225,0)))/RND)</f>
        <v/>
      </c>
      <c r="D168" s="14" t="str">
        <f>IF(B168="","",1*(INDEX(TB!$D$6:$D$225,MATCH("INVTY#"&amp;5,TB!$H$6:$H$225,0))-INDEX(TB!$E$6:$E$225,MATCH("INVTY#"&amp;5,TB!$H$6:$H$225,0)))/RND)</f>
        <v/>
      </c>
    </row>
    <row r="169" spans="2:4" x14ac:dyDescent="0.25">
      <c r="B169" s="4" t="s">
        <v>311</v>
      </c>
      <c r="C169" s="14">
        <f>1*Calc!$B$23/RND-SUM(C164:C168)</f>
        <v>0</v>
      </c>
      <c r="D169" s="14">
        <f>1*Calc!$C$23/RND-SUM(D164:D168)</f>
        <v>0</v>
      </c>
    </row>
    <row r="170" spans="2:4" x14ac:dyDescent="0.25">
      <c r="B170" s="7" t="s">
        <v>213</v>
      </c>
      <c r="C170" s="16">
        <f>1*Calc!$B$23/RND</f>
        <v>0</v>
      </c>
      <c r="D170" s="16">
        <f>1*Calc!$C$23/RND</f>
        <v>0</v>
      </c>
    </row>
    <row r="172" spans="2:4" x14ac:dyDescent="0.25">
      <c r="B172" s="3" t="s">
        <v>337</v>
      </c>
    </row>
    <row r="173" spans="2:4" x14ac:dyDescent="0.25">
      <c r="B173" s="7" t="s">
        <v>243</v>
      </c>
      <c r="C173" s="7" t="str">
        <f>"As at "&amp;TEXT(BSD,"dd mmmm yyyy")</f>
        <v>As at 31 March 2026</v>
      </c>
      <c r="D173" s="7" t="str">
        <f>"As at "&amp;TEXT(PBSD,"dd mmmm yyyy")</f>
        <v>As at 31 March 2025</v>
      </c>
    </row>
    <row r="174" spans="2:4" x14ac:dyDescent="0.25">
      <c r="B174" s="4" t="str">
        <f>IFERROR(INDEX(TB!$A$6:$A$225,MATCH("TR#"&amp;1,TB!$H$6:$H$225,0)),"")</f>
        <v/>
      </c>
      <c r="C174" s="14" t="str">
        <f>IF(B174="","",1*(INDEX(TB!$B$6:$B$225,MATCH("TR#"&amp;1,TB!$H$6:$H$225,0))-INDEX(TB!$C$6:$C$225,MATCH("TR#"&amp;1,TB!$H$6:$H$225,0)))/RND)</f>
        <v/>
      </c>
      <c r="D174" s="14" t="str">
        <f>IF(B174="","",1*(INDEX(TB!$D$6:$D$225,MATCH("TR#"&amp;1,TB!$H$6:$H$225,0))-INDEX(TB!$E$6:$E$225,MATCH("TR#"&amp;1,TB!$H$6:$H$225,0)))/RND)</f>
        <v/>
      </c>
    </row>
    <row r="175" spans="2:4" x14ac:dyDescent="0.25">
      <c r="B175" s="4" t="str">
        <f>IFERROR(INDEX(TB!$A$6:$A$225,MATCH("TR#"&amp;2,TB!$H$6:$H$225,0)),"")</f>
        <v/>
      </c>
      <c r="C175" s="14" t="str">
        <f>IF(B175="","",1*(INDEX(TB!$B$6:$B$225,MATCH("TR#"&amp;2,TB!$H$6:$H$225,0))-INDEX(TB!$C$6:$C$225,MATCH("TR#"&amp;2,TB!$H$6:$H$225,0)))/RND)</f>
        <v/>
      </c>
      <c r="D175" s="14" t="str">
        <f>IF(B175="","",1*(INDEX(TB!$D$6:$D$225,MATCH("TR#"&amp;2,TB!$H$6:$H$225,0))-INDEX(TB!$E$6:$E$225,MATCH("TR#"&amp;2,TB!$H$6:$H$225,0)))/RND)</f>
        <v/>
      </c>
    </row>
    <row r="176" spans="2:4" x14ac:dyDescent="0.25">
      <c r="B176" s="4" t="str">
        <f>IFERROR(INDEX(TB!$A$6:$A$225,MATCH("TR#"&amp;3,TB!$H$6:$H$225,0)),"")</f>
        <v/>
      </c>
      <c r="C176" s="14" t="str">
        <f>IF(B176="","",1*(INDEX(TB!$B$6:$B$225,MATCH("TR#"&amp;3,TB!$H$6:$H$225,0))-INDEX(TB!$C$6:$C$225,MATCH("TR#"&amp;3,TB!$H$6:$H$225,0)))/RND)</f>
        <v/>
      </c>
      <c r="D176" s="14" t="str">
        <f>IF(B176="","",1*(INDEX(TB!$D$6:$D$225,MATCH("TR#"&amp;3,TB!$H$6:$H$225,0))-INDEX(TB!$E$6:$E$225,MATCH("TR#"&amp;3,TB!$H$6:$H$225,0)))/RND)</f>
        <v/>
      </c>
    </row>
    <row r="177" spans="2:4" x14ac:dyDescent="0.25">
      <c r="B177" s="4" t="str">
        <f>IFERROR(INDEX(TB!$A$6:$A$225,MATCH("TR#"&amp;4,TB!$H$6:$H$225,0)),"")</f>
        <v/>
      </c>
      <c r="C177" s="14" t="str">
        <f>IF(B177="","",1*(INDEX(TB!$B$6:$B$225,MATCH("TR#"&amp;4,TB!$H$6:$H$225,0))-INDEX(TB!$C$6:$C$225,MATCH("TR#"&amp;4,TB!$H$6:$H$225,0)))/RND)</f>
        <v/>
      </c>
      <c r="D177" s="14" t="str">
        <f>IF(B177="","",1*(INDEX(TB!$D$6:$D$225,MATCH("TR#"&amp;4,TB!$H$6:$H$225,0))-INDEX(TB!$E$6:$E$225,MATCH("TR#"&amp;4,TB!$H$6:$H$225,0)))/RND)</f>
        <v/>
      </c>
    </row>
    <row r="178" spans="2:4" x14ac:dyDescent="0.25">
      <c r="B178" s="4" t="str">
        <f>IFERROR(INDEX(TB!$A$6:$A$225,MATCH("TR#"&amp;5,TB!$H$6:$H$225,0)),"")</f>
        <v/>
      </c>
      <c r="C178" s="14" t="str">
        <f>IF(B178="","",1*(INDEX(TB!$B$6:$B$225,MATCH("TR#"&amp;5,TB!$H$6:$H$225,0))-INDEX(TB!$C$6:$C$225,MATCH("TR#"&amp;5,TB!$H$6:$H$225,0)))/RND)</f>
        <v/>
      </c>
      <c r="D178" s="14" t="str">
        <f>IF(B178="","",1*(INDEX(TB!$D$6:$D$225,MATCH("TR#"&amp;5,TB!$H$6:$H$225,0))-INDEX(TB!$E$6:$E$225,MATCH("TR#"&amp;5,TB!$H$6:$H$225,0)))/RND)</f>
        <v/>
      </c>
    </row>
    <row r="179" spans="2:4" x14ac:dyDescent="0.25">
      <c r="B179" s="4" t="s">
        <v>311</v>
      </c>
      <c r="C179" s="14">
        <f>1*Calc!$B$24/RND-SUM(C174:C178)</f>
        <v>0</v>
      </c>
      <c r="D179" s="14">
        <f>1*Calc!$C$24/RND-SUM(D174:D178)</f>
        <v>0</v>
      </c>
    </row>
    <row r="180" spans="2:4" x14ac:dyDescent="0.25">
      <c r="B180" s="7" t="s">
        <v>213</v>
      </c>
      <c r="C180" s="16">
        <f>1*Calc!$B$24/RND</f>
        <v>0</v>
      </c>
      <c r="D180" s="16">
        <f>1*Calc!$C$24/RND</f>
        <v>0</v>
      </c>
    </row>
    <row r="182" spans="2:4" x14ac:dyDescent="0.25">
      <c r="B182" s="3" t="s">
        <v>338</v>
      </c>
    </row>
    <row r="183" spans="2:4" x14ac:dyDescent="0.25">
      <c r="B183" s="7" t="s">
        <v>243</v>
      </c>
      <c r="C183" s="7" t="str">
        <f>"As at "&amp;TEXT(BSD,"dd mmmm yyyy")</f>
        <v>As at 31 March 2026</v>
      </c>
      <c r="D183" s="7" t="str">
        <f>"As at "&amp;TEXT(PBSD,"dd mmmm yyyy")</f>
        <v>As at 31 March 2025</v>
      </c>
    </row>
    <row r="184" spans="2:4" x14ac:dyDescent="0.25">
      <c r="B184" s="4" t="str">
        <f>IFERROR(INDEX(TB!$A$6:$A$225,MATCH("CASH#"&amp;1,TB!$H$6:$H$225,0)),"")</f>
        <v/>
      </c>
      <c r="C184" s="14" t="str">
        <f>IF(B184="","",1*(INDEX(TB!$B$6:$B$225,MATCH("CASH#"&amp;1,TB!$H$6:$H$225,0))-INDEX(TB!$C$6:$C$225,MATCH("CASH#"&amp;1,TB!$H$6:$H$225,0)))/RND)</f>
        <v/>
      </c>
      <c r="D184" s="14" t="str">
        <f>IF(B184="","",1*(INDEX(TB!$D$6:$D$225,MATCH("CASH#"&amp;1,TB!$H$6:$H$225,0))-INDEX(TB!$E$6:$E$225,MATCH("CASH#"&amp;1,TB!$H$6:$H$225,0)))/RND)</f>
        <v/>
      </c>
    </row>
    <row r="185" spans="2:4" x14ac:dyDescent="0.25">
      <c r="B185" s="4" t="str">
        <f>IFERROR(INDEX(TB!$A$6:$A$225,MATCH("CASH#"&amp;2,TB!$H$6:$H$225,0)),"")</f>
        <v/>
      </c>
      <c r="C185" s="14" t="str">
        <f>IF(B185="","",1*(INDEX(TB!$B$6:$B$225,MATCH("CASH#"&amp;2,TB!$H$6:$H$225,0))-INDEX(TB!$C$6:$C$225,MATCH("CASH#"&amp;2,TB!$H$6:$H$225,0)))/RND)</f>
        <v/>
      </c>
      <c r="D185" s="14" t="str">
        <f>IF(B185="","",1*(INDEX(TB!$D$6:$D$225,MATCH("CASH#"&amp;2,TB!$H$6:$H$225,0))-INDEX(TB!$E$6:$E$225,MATCH("CASH#"&amp;2,TB!$H$6:$H$225,0)))/RND)</f>
        <v/>
      </c>
    </row>
    <row r="186" spans="2:4" x14ac:dyDescent="0.25">
      <c r="B186" s="4" t="str">
        <f>IFERROR(INDEX(TB!$A$6:$A$225,MATCH("CASH#"&amp;3,TB!$H$6:$H$225,0)),"")</f>
        <v/>
      </c>
      <c r="C186" s="14" t="str">
        <f>IF(B186="","",1*(INDEX(TB!$B$6:$B$225,MATCH("CASH#"&amp;3,TB!$H$6:$H$225,0))-INDEX(TB!$C$6:$C$225,MATCH("CASH#"&amp;3,TB!$H$6:$H$225,0)))/RND)</f>
        <v/>
      </c>
      <c r="D186" s="14" t="str">
        <f>IF(B186="","",1*(INDEX(TB!$D$6:$D$225,MATCH("CASH#"&amp;3,TB!$H$6:$H$225,0))-INDEX(TB!$E$6:$E$225,MATCH("CASH#"&amp;3,TB!$H$6:$H$225,0)))/RND)</f>
        <v/>
      </c>
    </row>
    <row r="187" spans="2:4" x14ac:dyDescent="0.25">
      <c r="B187" s="4" t="str">
        <f>IFERROR(INDEX(TB!$A$6:$A$225,MATCH("CASH#"&amp;4,TB!$H$6:$H$225,0)),"")</f>
        <v/>
      </c>
      <c r="C187" s="14" t="str">
        <f>IF(B187="","",1*(INDEX(TB!$B$6:$B$225,MATCH("CASH#"&amp;4,TB!$H$6:$H$225,0))-INDEX(TB!$C$6:$C$225,MATCH("CASH#"&amp;4,TB!$H$6:$H$225,0)))/RND)</f>
        <v/>
      </c>
      <c r="D187" s="14" t="str">
        <f>IF(B187="","",1*(INDEX(TB!$D$6:$D$225,MATCH("CASH#"&amp;4,TB!$H$6:$H$225,0))-INDEX(TB!$E$6:$E$225,MATCH("CASH#"&amp;4,TB!$H$6:$H$225,0)))/RND)</f>
        <v/>
      </c>
    </row>
    <row r="188" spans="2:4" x14ac:dyDescent="0.25">
      <c r="B188" s="4" t="str">
        <f>IFERROR(INDEX(TB!$A$6:$A$225,MATCH("CASH#"&amp;5,TB!$H$6:$H$225,0)),"")</f>
        <v/>
      </c>
      <c r="C188" s="14" t="str">
        <f>IF(B188="","",1*(INDEX(TB!$B$6:$B$225,MATCH("CASH#"&amp;5,TB!$H$6:$H$225,0))-INDEX(TB!$C$6:$C$225,MATCH("CASH#"&amp;5,TB!$H$6:$H$225,0)))/RND)</f>
        <v/>
      </c>
      <c r="D188" s="14" t="str">
        <f>IF(B188="","",1*(INDEX(TB!$D$6:$D$225,MATCH("CASH#"&amp;5,TB!$H$6:$H$225,0))-INDEX(TB!$E$6:$E$225,MATCH("CASH#"&amp;5,TB!$H$6:$H$225,0)))/RND)</f>
        <v/>
      </c>
    </row>
    <row r="189" spans="2:4" x14ac:dyDescent="0.25">
      <c r="B189" s="4" t="s">
        <v>311</v>
      </c>
      <c r="C189" s="14">
        <f>1*Calc!$B$25/RND-SUM(C184:C188)</f>
        <v>0</v>
      </c>
      <c r="D189" s="14">
        <f>1*Calc!$C$25/RND-SUM(D184:D188)</f>
        <v>0</v>
      </c>
    </row>
    <row r="190" spans="2:4" x14ac:dyDescent="0.25">
      <c r="B190" s="7" t="s">
        <v>213</v>
      </c>
      <c r="C190" s="16">
        <f>1*Calc!$B$25/RND</f>
        <v>0</v>
      </c>
      <c r="D190" s="16">
        <f>1*Calc!$C$25/RND</f>
        <v>0</v>
      </c>
    </row>
    <row r="192" spans="2:4" x14ac:dyDescent="0.25">
      <c r="B192" s="3" t="s">
        <v>339</v>
      </c>
    </row>
    <row r="193" spans="2:4" x14ac:dyDescent="0.25">
      <c r="B193" s="7" t="s">
        <v>243</v>
      </c>
      <c r="C193" s="7" t="str">
        <f>"As at "&amp;TEXT(BSD,"dd mmmm yyyy")</f>
        <v>As at 31 March 2026</v>
      </c>
      <c r="D193" s="7" t="str">
        <f>"As at "&amp;TEXT(PBSD,"dd mmmm yyyy")</f>
        <v>As at 31 March 2025</v>
      </c>
    </row>
    <row r="194" spans="2:4" x14ac:dyDescent="0.25">
      <c r="B194" s="4" t="str">
        <f>IFERROR(INDEX(TB!$A$6:$A$225,MATCH("STLA#"&amp;1,TB!$H$6:$H$225,0)),"")</f>
        <v/>
      </c>
      <c r="C194" s="14" t="str">
        <f>IF(B194="","",1*(INDEX(TB!$B$6:$B$225,MATCH("STLA#"&amp;1,TB!$H$6:$H$225,0))-INDEX(TB!$C$6:$C$225,MATCH("STLA#"&amp;1,TB!$H$6:$H$225,0)))/RND)</f>
        <v/>
      </c>
      <c r="D194" s="14" t="str">
        <f>IF(B194="","",1*(INDEX(TB!$D$6:$D$225,MATCH("STLA#"&amp;1,TB!$H$6:$H$225,0))-INDEX(TB!$E$6:$E$225,MATCH("STLA#"&amp;1,TB!$H$6:$H$225,0)))/RND)</f>
        <v/>
      </c>
    </row>
    <row r="195" spans="2:4" x14ac:dyDescent="0.25">
      <c r="B195" s="4" t="str">
        <f>IFERROR(INDEX(TB!$A$6:$A$225,MATCH("STLA#"&amp;2,TB!$H$6:$H$225,0)),"")</f>
        <v/>
      </c>
      <c r="C195" s="14" t="str">
        <f>IF(B195="","",1*(INDEX(TB!$B$6:$B$225,MATCH("STLA#"&amp;2,TB!$H$6:$H$225,0))-INDEX(TB!$C$6:$C$225,MATCH("STLA#"&amp;2,TB!$H$6:$H$225,0)))/RND)</f>
        <v/>
      </c>
      <c r="D195" s="14" t="str">
        <f>IF(B195="","",1*(INDEX(TB!$D$6:$D$225,MATCH("STLA#"&amp;2,TB!$H$6:$H$225,0))-INDEX(TB!$E$6:$E$225,MATCH("STLA#"&amp;2,TB!$H$6:$H$225,0)))/RND)</f>
        <v/>
      </c>
    </row>
    <row r="196" spans="2:4" x14ac:dyDescent="0.25">
      <c r="B196" s="4" t="str">
        <f>IFERROR(INDEX(TB!$A$6:$A$225,MATCH("STLA#"&amp;3,TB!$H$6:$H$225,0)),"")</f>
        <v/>
      </c>
      <c r="C196" s="14" t="str">
        <f>IF(B196="","",1*(INDEX(TB!$B$6:$B$225,MATCH("STLA#"&amp;3,TB!$H$6:$H$225,0))-INDEX(TB!$C$6:$C$225,MATCH("STLA#"&amp;3,TB!$H$6:$H$225,0)))/RND)</f>
        <v/>
      </c>
      <c r="D196" s="14" t="str">
        <f>IF(B196="","",1*(INDEX(TB!$D$6:$D$225,MATCH("STLA#"&amp;3,TB!$H$6:$H$225,0))-INDEX(TB!$E$6:$E$225,MATCH("STLA#"&amp;3,TB!$H$6:$H$225,0)))/RND)</f>
        <v/>
      </c>
    </row>
    <row r="197" spans="2:4" x14ac:dyDescent="0.25">
      <c r="B197" s="4" t="str">
        <f>IFERROR(INDEX(TB!$A$6:$A$225,MATCH("STLA#"&amp;4,TB!$H$6:$H$225,0)),"")</f>
        <v/>
      </c>
      <c r="C197" s="14" t="str">
        <f>IF(B197="","",1*(INDEX(TB!$B$6:$B$225,MATCH("STLA#"&amp;4,TB!$H$6:$H$225,0))-INDEX(TB!$C$6:$C$225,MATCH("STLA#"&amp;4,TB!$H$6:$H$225,0)))/RND)</f>
        <v/>
      </c>
      <c r="D197" s="14" t="str">
        <f>IF(B197="","",1*(INDEX(TB!$D$6:$D$225,MATCH("STLA#"&amp;4,TB!$H$6:$H$225,0))-INDEX(TB!$E$6:$E$225,MATCH("STLA#"&amp;4,TB!$H$6:$H$225,0)))/RND)</f>
        <v/>
      </c>
    </row>
    <row r="198" spans="2:4" x14ac:dyDescent="0.25">
      <c r="B198" s="4" t="str">
        <f>IFERROR(INDEX(TB!$A$6:$A$225,MATCH("STLA#"&amp;5,TB!$H$6:$H$225,0)),"")</f>
        <v/>
      </c>
      <c r="C198" s="14" t="str">
        <f>IF(B198="","",1*(INDEX(TB!$B$6:$B$225,MATCH("STLA#"&amp;5,TB!$H$6:$H$225,0))-INDEX(TB!$C$6:$C$225,MATCH("STLA#"&amp;5,TB!$H$6:$H$225,0)))/RND)</f>
        <v/>
      </c>
      <c r="D198" s="14" t="str">
        <f>IF(B198="","",1*(INDEX(TB!$D$6:$D$225,MATCH("STLA#"&amp;5,TB!$H$6:$H$225,0))-INDEX(TB!$E$6:$E$225,MATCH("STLA#"&amp;5,TB!$H$6:$H$225,0)))/RND)</f>
        <v/>
      </c>
    </row>
    <row r="199" spans="2:4" x14ac:dyDescent="0.25">
      <c r="B199" s="4" t="s">
        <v>311</v>
      </c>
      <c r="C199" s="14">
        <f>1*Calc!$B$26/RND-SUM(C194:C198)</f>
        <v>0</v>
      </c>
      <c r="D199" s="14">
        <f>1*Calc!$C$26/RND-SUM(D194:D198)</f>
        <v>0</v>
      </c>
    </row>
    <row r="200" spans="2:4" x14ac:dyDescent="0.25">
      <c r="B200" s="7" t="s">
        <v>213</v>
      </c>
      <c r="C200" s="16">
        <f>1*Calc!$B$26/RND</f>
        <v>0</v>
      </c>
      <c r="D200" s="16">
        <f>1*Calc!$C$26/RND</f>
        <v>0</v>
      </c>
    </row>
    <row r="202" spans="2:4" x14ac:dyDescent="0.25">
      <c r="B202" s="3" t="s">
        <v>340</v>
      </c>
    </row>
    <row r="203" spans="2:4" x14ac:dyDescent="0.25">
      <c r="B203" s="7" t="s">
        <v>243</v>
      </c>
      <c r="C203" s="7" t="str">
        <f>"As at "&amp;TEXT(BSD,"dd mmmm yyyy")</f>
        <v>As at 31 March 2026</v>
      </c>
      <c r="D203" s="7" t="str">
        <f>"As at "&amp;TEXT(PBSD,"dd mmmm yyyy")</f>
        <v>As at 31 March 2025</v>
      </c>
    </row>
    <row r="204" spans="2:4" x14ac:dyDescent="0.25">
      <c r="B204" s="4" t="str">
        <f>IFERROR(INDEX(TB!$A$6:$A$225,MATCH("OCA#"&amp;1,TB!$H$6:$H$225,0)),"")</f>
        <v/>
      </c>
      <c r="C204" s="14" t="str">
        <f>IF(B204="","",1*(INDEX(TB!$B$6:$B$225,MATCH("OCA#"&amp;1,TB!$H$6:$H$225,0))-INDEX(TB!$C$6:$C$225,MATCH("OCA#"&amp;1,TB!$H$6:$H$225,0)))/RND)</f>
        <v/>
      </c>
      <c r="D204" s="14" t="str">
        <f>IF(B204="","",1*(INDEX(TB!$D$6:$D$225,MATCH("OCA#"&amp;1,TB!$H$6:$H$225,0))-INDEX(TB!$E$6:$E$225,MATCH("OCA#"&amp;1,TB!$H$6:$H$225,0)))/RND)</f>
        <v/>
      </c>
    </row>
    <row r="205" spans="2:4" x14ac:dyDescent="0.25">
      <c r="B205" s="4" t="str">
        <f>IFERROR(INDEX(TB!$A$6:$A$225,MATCH("OCA#"&amp;2,TB!$H$6:$H$225,0)),"")</f>
        <v/>
      </c>
      <c r="C205" s="14" t="str">
        <f>IF(B205="","",1*(INDEX(TB!$B$6:$B$225,MATCH("OCA#"&amp;2,TB!$H$6:$H$225,0))-INDEX(TB!$C$6:$C$225,MATCH("OCA#"&amp;2,TB!$H$6:$H$225,0)))/RND)</f>
        <v/>
      </c>
      <c r="D205" s="14" t="str">
        <f>IF(B205="","",1*(INDEX(TB!$D$6:$D$225,MATCH("OCA#"&amp;2,TB!$H$6:$H$225,0))-INDEX(TB!$E$6:$E$225,MATCH("OCA#"&amp;2,TB!$H$6:$H$225,0)))/RND)</f>
        <v/>
      </c>
    </row>
    <row r="206" spans="2:4" x14ac:dyDescent="0.25">
      <c r="B206" s="4" t="str">
        <f>IFERROR(INDEX(TB!$A$6:$A$225,MATCH("OCA#"&amp;3,TB!$H$6:$H$225,0)),"")</f>
        <v/>
      </c>
      <c r="C206" s="14" t="str">
        <f>IF(B206="","",1*(INDEX(TB!$B$6:$B$225,MATCH("OCA#"&amp;3,TB!$H$6:$H$225,0))-INDEX(TB!$C$6:$C$225,MATCH("OCA#"&amp;3,TB!$H$6:$H$225,0)))/RND)</f>
        <v/>
      </c>
      <c r="D206" s="14" t="str">
        <f>IF(B206="","",1*(INDEX(TB!$D$6:$D$225,MATCH("OCA#"&amp;3,TB!$H$6:$H$225,0))-INDEX(TB!$E$6:$E$225,MATCH("OCA#"&amp;3,TB!$H$6:$H$225,0)))/RND)</f>
        <v/>
      </c>
    </row>
    <row r="207" spans="2:4" x14ac:dyDescent="0.25">
      <c r="B207" s="4" t="str">
        <f>IFERROR(INDEX(TB!$A$6:$A$225,MATCH("OCA#"&amp;4,TB!$H$6:$H$225,0)),"")</f>
        <v/>
      </c>
      <c r="C207" s="14" t="str">
        <f>IF(B207="","",1*(INDEX(TB!$B$6:$B$225,MATCH("OCA#"&amp;4,TB!$H$6:$H$225,0))-INDEX(TB!$C$6:$C$225,MATCH("OCA#"&amp;4,TB!$H$6:$H$225,0)))/RND)</f>
        <v/>
      </c>
      <c r="D207" s="14" t="str">
        <f>IF(B207="","",1*(INDEX(TB!$D$6:$D$225,MATCH("OCA#"&amp;4,TB!$H$6:$H$225,0))-INDEX(TB!$E$6:$E$225,MATCH("OCA#"&amp;4,TB!$H$6:$H$225,0)))/RND)</f>
        <v/>
      </c>
    </row>
    <row r="208" spans="2:4" x14ac:dyDescent="0.25">
      <c r="B208" s="4" t="str">
        <f>IFERROR(INDEX(TB!$A$6:$A$225,MATCH("OCA#"&amp;5,TB!$H$6:$H$225,0)),"")</f>
        <v/>
      </c>
      <c r="C208" s="14" t="str">
        <f>IF(B208="","",1*(INDEX(TB!$B$6:$B$225,MATCH("OCA#"&amp;5,TB!$H$6:$H$225,0))-INDEX(TB!$C$6:$C$225,MATCH("OCA#"&amp;5,TB!$H$6:$H$225,0)))/RND)</f>
        <v/>
      </c>
      <c r="D208" s="14" t="str">
        <f>IF(B208="","",1*(INDEX(TB!$D$6:$D$225,MATCH("OCA#"&amp;5,TB!$H$6:$H$225,0))-INDEX(TB!$E$6:$E$225,MATCH("OCA#"&amp;5,TB!$H$6:$H$225,0)))/RND)</f>
        <v/>
      </c>
    </row>
    <row r="209" spans="2:4" x14ac:dyDescent="0.25">
      <c r="B209" s="4" t="s">
        <v>311</v>
      </c>
      <c r="C209" s="14">
        <f>1*Calc!$B$27/RND-SUM(C204:C208)</f>
        <v>0</v>
      </c>
      <c r="D209" s="14">
        <f>1*Calc!$C$27/RND-SUM(D204:D208)</f>
        <v>0</v>
      </c>
    </row>
    <row r="210" spans="2:4" x14ac:dyDescent="0.25">
      <c r="B210" s="7" t="s">
        <v>213</v>
      </c>
      <c r="C210" s="16">
        <f>1*Calc!$B$27/RND</f>
        <v>0</v>
      </c>
      <c r="D210" s="16">
        <f>1*Calc!$C$27/RND</f>
        <v>0</v>
      </c>
    </row>
    <row r="212" spans="2:4" x14ac:dyDescent="0.25">
      <c r="B212" s="3" t="s">
        <v>341</v>
      </c>
    </row>
    <row r="213" spans="2:4" x14ac:dyDescent="0.25">
      <c r="B213" s="4" t="str">
        <f>"Claims against the "&amp;IF(ETYPE="LLP","LLP",IF(ETYPE="Proprietorship","entity","firm"))&amp;" not acknowledged as debts"</f>
        <v>Claims against the firm not acknowledged as debts</v>
      </c>
      <c r="C213" s="11">
        <v>0</v>
      </c>
    </row>
    <row r="214" spans="2:4" x14ac:dyDescent="0.25">
      <c r="B214" s="4" t="s">
        <v>342</v>
      </c>
      <c r="C214" s="11">
        <v>0</v>
      </c>
    </row>
    <row r="215" spans="2:4" x14ac:dyDescent="0.25">
      <c r="B215" s="4" t="s">
        <v>343</v>
      </c>
      <c r="C215" s="11">
        <v>0</v>
      </c>
    </row>
  </sheetData>
  <pageMargins left="0.75" right="0.75" top="1" bottom="1"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9D18E"/>
  </sheetPr>
  <dimension ref="B2:D103"/>
  <sheetViews>
    <sheetView showGridLines="0" topLeftCell="A72" zoomScaleNormal="100" workbookViewId="0">
      <selection activeCell="D103" sqref="D103"/>
    </sheetView>
  </sheetViews>
  <sheetFormatPr defaultColWidth="8.7109375" defaultRowHeight="15" x14ac:dyDescent="0.25"/>
  <cols>
    <col min="2" max="2" width="46" customWidth="1"/>
    <col min="3" max="4" width="16" customWidth="1"/>
  </cols>
  <sheetData>
    <row r="2" spans="2:4" ht="18" x14ac:dyDescent="0.25">
      <c r="B2" s="1" t="s">
        <v>344</v>
      </c>
    </row>
    <row r="3" spans="2:4" x14ac:dyDescent="0.25">
      <c r="B3" s="2" t="str">
        <f>Setup!C5&amp;" — "&amp;Setup!C19</f>
        <v>M/s Malla Traders — Amounts in Rs</v>
      </c>
    </row>
    <row r="5" spans="2:4" x14ac:dyDescent="0.25">
      <c r="B5" s="3" t="s">
        <v>345</v>
      </c>
    </row>
    <row r="6" spans="2:4" x14ac:dyDescent="0.25">
      <c r="B6" s="7" t="s">
        <v>243</v>
      </c>
      <c r="C6" s="7" t="str">
        <f>"Year ended "&amp;TEXT(BSD,"dd mmmm yyyy")</f>
        <v>Year ended 31 March 2026</v>
      </c>
      <c r="D6" s="7" t="str">
        <f>"Year ended "&amp;TEXT(PBSD,"dd mmmm yyyy")</f>
        <v>Year ended 31 March 2025</v>
      </c>
    </row>
    <row r="7" spans="2:4" x14ac:dyDescent="0.25">
      <c r="B7" s="4" t="str">
        <f>IFERROR(INDEX(TB!$A$6:$A$225,MATCH("REV#"&amp;1,TB!$H$6:$H$225,0)),"")</f>
        <v>EXAMPLE — Sales (delete this row and paste your TB)</v>
      </c>
      <c r="C7" s="14">
        <f>IF(B7="","",-1*(INDEX(TB!$B$6:$B$225,MATCH("REV#"&amp;1,TB!$H$6:$H$225,0))-INDEX(TB!$C$6:$C$225,MATCH("REV#"&amp;1,TB!$H$6:$H$225,0)))/RND)</f>
        <v>0</v>
      </c>
      <c r="D7" s="14">
        <f>IF(B7="","",-1*(INDEX(TB!$D$6:$D$225,MATCH("REV#"&amp;1,TB!$H$6:$H$225,0))-INDEX(TB!$E$6:$E$225,MATCH("REV#"&amp;1,TB!$H$6:$H$225,0)))/RND)</f>
        <v>0</v>
      </c>
    </row>
    <row r="8" spans="2:4" x14ac:dyDescent="0.25">
      <c r="B8" s="4" t="str">
        <f>IFERROR(INDEX(TB!$A$6:$A$225,MATCH("REV#"&amp;2,TB!$H$6:$H$225,0)),"")</f>
        <v/>
      </c>
      <c r="C8" s="14" t="str">
        <f>IF(B8="","",-1*(INDEX(TB!$B$6:$B$225,MATCH("REV#"&amp;2,TB!$H$6:$H$225,0))-INDEX(TB!$C$6:$C$225,MATCH("REV#"&amp;2,TB!$H$6:$H$225,0)))/RND)</f>
        <v/>
      </c>
      <c r="D8" s="14" t="str">
        <f>IF(B8="","",-1*(INDEX(TB!$D$6:$D$225,MATCH("REV#"&amp;2,TB!$H$6:$H$225,0))-INDEX(TB!$E$6:$E$225,MATCH("REV#"&amp;2,TB!$H$6:$H$225,0)))/RND)</f>
        <v/>
      </c>
    </row>
    <row r="9" spans="2:4" x14ac:dyDescent="0.25">
      <c r="B9" s="4" t="str">
        <f>IFERROR(INDEX(TB!$A$6:$A$225,MATCH("REV#"&amp;3,TB!$H$6:$H$225,0)),"")</f>
        <v/>
      </c>
      <c r="C9" s="14" t="str">
        <f>IF(B9="","",-1*(INDEX(TB!$B$6:$B$225,MATCH("REV#"&amp;3,TB!$H$6:$H$225,0))-INDEX(TB!$C$6:$C$225,MATCH("REV#"&amp;3,TB!$H$6:$H$225,0)))/RND)</f>
        <v/>
      </c>
      <c r="D9" s="14" t="str">
        <f>IF(B9="","",-1*(INDEX(TB!$D$6:$D$225,MATCH("REV#"&amp;3,TB!$H$6:$H$225,0))-INDEX(TB!$E$6:$E$225,MATCH("REV#"&amp;3,TB!$H$6:$H$225,0)))/RND)</f>
        <v/>
      </c>
    </row>
    <row r="10" spans="2:4" x14ac:dyDescent="0.25">
      <c r="B10" s="4" t="str">
        <f>IFERROR(INDEX(TB!$A$6:$A$225,MATCH("REV#"&amp;4,TB!$H$6:$H$225,0)),"")</f>
        <v/>
      </c>
      <c r="C10" s="14" t="str">
        <f>IF(B10="","",-1*(INDEX(TB!$B$6:$B$225,MATCH("REV#"&amp;4,TB!$H$6:$H$225,0))-INDEX(TB!$C$6:$C$225,MATCH("REV#"&amp;4,TB!$H$6:$H$225,0)))/RND)</f>
        <v/>
      </c>
      <c r="D10" s="14" t="str">
        <f>IF(B10="","",-1*(INDEX(TB!$D$6:$D$225,MATCH("REV#"&amp;4,TB!$H$6:$H$225,0))-INDEX(TB!$E$6:$E$225,MATCH("REV#"&amp;4,TB!$H$6:$H$225,0)))/RND)</f>
        <v/>
      </c>
    </row>
    <row r="11" spans="2:4" x14ac:dyDescent="0.25">
      <c r="B11" s="4" t="str">
        <f>IFERROR(INDEX(TB!$A$6:$A$225,MATCH("REV#"&amp;5,TB!$H$6:$H$225,0)),"")</f>
        <v/>
      </c>
      <c r="C11" s="14" t="str">
        <f>IF(B11="","",-1*(INDEX(TB!$B$6:$B$225,MATCH("REV#"&amp;5,TB!$H$6:$H$225,0))-INDEX(TB!$C$6:$C$225,MATCH("REV#"&amp;5,TB!$H$6:$H$225,0)))/RND)</f>
        <v/>
      </c>
      <c r="D11" s="14" t="str">
        <f>IF(B11="","",-1*(INDEX(TB!$D$6:$D$225,MATCH("REV#"&amp;5,TB!$H$6:$H$225,0))-INDEX(TB!$E$6:$E$225,MATCH("REV#"&amp;5,TB!$H$6:$H$225,0)))/RND)</f>
        <v/>
      </c>
    </row>
    <row r="12" spans="2:4" x14ac:dyDescent="0.25">
      <c r="B12" s="4" t="s">
        <v>311</v>
      </c>
      <c r="C12" s="14">
        <f>-1*Calc!$B$28/RND-SUM(C7:C11)</f>
        <v>0</v>
      </c>
      <c r="D12" s="14">
        <f>-1*Calc!$C$28/RND-SUM(D7:D11)</f>
        <v>0</v>
      </c>
    </row>
    <row r="13" spans="2:4" x14ac:dyDescent="0.25">
      <c r="B13" s="7" t="s">
        <v>213</v>
      </c>
      <c r="C13" s="16">
        <f>-1*Calc!$B$28/RND</f>
        <v>0</v>
      </c>
      <c r="D13" s="16">
        <f>-1*Calc!$C$28/RND</f>
        <v>0</v>
      </c>
    </row>
    <row r="15" spans="2:4" x14ac:dyDescent="0.25">
      <c r="B15" s="3" t="s">
        <v>346</v>
      </c>
    </row>
    <row r="16" spans="2:4" x14ac:dyDescent="0.25">
      <c r="B16" s="7" t="s">
        <v>243</v>
      </c>
      <c r="C16" s="7" t="str">
        <f>"Year ended "&amp;TEXT(BSD,"dd mmmm yyyy")</f>
        <v>Year ended 31 March 2026</v>
      </c>
      <c r="D16" s="7" t="str">
        <f>"Year ended "&amp;TEXT(PBSD,"dd mmmm yyyy")</f>
        <v>Year ended 31 March 2025</v>
      </c>
    </row>
    <row r="17" spans="2:4" x14ac:dyDescent="0.25">
      <c r="B17" s="4" t="str">
        <f>IFERROR(INDEX(TB!$A$6:$A$225,MATCH("OTHINC#"&amp;1,TB!$H$6:$H$225,0)),"")</f>
        <v/>
      </c>
      <c r="C17" s="14" t="str">
        <f>IF(B17="","",-1*(INDEX(TB!$B$6:$B$225,MATCH("OTHINC#"&amp;1,TB!$H$6:$H$225,0))-INDEX(TB!$C$6:$C$225,MATCH("OTHINC#"&amp;1,TB!$H$6:$H$225,0)))/RND)</f>
        <v/>
      </c>
      <c r="D17" s="14" t="str">
        <f>IF(B17="","",-1*(INDEX(TB!$D$6:$D$225,MATCH("OTHINC#"&amp;1,TB!$H$6:$H$225,0))-INDEX(TB!$E$6:$E$225,MATCH("OTHINC#"&amp;1,TB!$H$6:$H$225,0)))/RND)</f>
        <v/>
      </c>
    </row>
    <row r="18" spans="2:4" x14ac:dyDescent="0.25">
      <c r="B18" s="4" t="str">
        <f>IFERROR(INDEX(TB!$A$6:$A$225,MATCH("OTHINC#"&amp;2,TB!$H$6:$H$225,0)),"")</f>
        <v/>
      </c>
      <c r="C18" s="14" t="str">
        <f>IF(B18="","",-1*(INDEX(TB!$B$6:$B$225,MATCH("OTHINC#"&amp;2,TB!$H$6:$H$225,0))-INDEX(TB!$C$6:$C$225,MATCH("OTHINC#"&amp;2,TB!$H$6:$H$225,0)))/RND)</f>
        <v/>
      </c>
      <c r="D18" s="14" t="str">
        <f>IF(B18="","",-1*(INDEX(TB!$D$6:$D$225,MATCH("OTHINC#"&amp;2,TB!$H$6:$H$225,0))-INDEX(TB!$E$6:$E$225,MATCH("OTHINC#"&amp;2,TB!$H$6:$H$225,0)))/RND)</f>
        <v/>
      </c>
    </row>
    <row r="19" spans="2:4" x14ac:dyDescent="0.25">
      <c r="B19" s="4" t="str">
        <f>IFERROR(INDEX(TB!$A$6:$A$225,MATCH("OTHINC#"&amp;3,TB!$H$6:$H$225,0)),"")</f>
        <v/>
      </c>
      <c r="C19" s="14" t="str">
        <f>IF(B19="","",-1*(INDEX(TB!$B$6:$B$225,MATCH("OTHINC#"&amp;3,TB!$H$6:$H$225,0))-INDEX(TB!$C$6:$C$225,MATCH("OTHINC#"&amp;3,TB!$H$6:$H$225,0)))/RND)</f>
        <v/>
      </c>
      <c r="D19" s="14" t="str">
        <f>IF(B19="","",-1*(INDEX(TB!$D$6:$D$225,MATCH("OTHINC#"&amp;3,TB!$H$6:$H$225,0))-INDEX(TB!$E$6:$E$225,MATCH("OTHINC#"&amp;3,TB!$H$6:$H$225,0)))/RND)</f>
        <v/>
      </c>
    </row>
    <row r="20" spans="2:4" x14ac:dyDescent="0.25">
      <c r="B20" s="4" t="str">
        <f>IFERROR(INDEX(TB!$A$6:$A$225,MATCH("OTHINC#"&amp;4,TB!$H$6:$H$225,0)),"")</f>
        <v/>
      </c>
      <c r="C20" s="14" t="str">
        <f>IF(B20="","",-1*(INDEX(TB!$B$6:$B$225,MATCH("OTHINC#"&amp;4,TB!$H$6:$H$225,0))-INDEX(TB!$C$6:$C$225,MATCH("OTHINC#"&amp;4,TB!$H$6:$H$225,0)))/RND)</f>
        <v/>
      </c>
      <c r="D20" s="14" t="str">
        <f>IF(B20="","",-1*(INDEX(TB!$D$6:$D$225,MATCH("OTHINC#"&amp;4,TB!$H$6:$H$225,0))-INDEX(TB!$E$6:$E$225,MATCH("OTHINC#"&amp;4,TB!$H$6:$H$225,0)))/RND)</f>
        <v/>
      </c>
    </row>
    <row r="21" spans="2:4" x14ac:dyDescent="0.25">
      <c r="B21" s="4" t="str">
        <f>IFERROR(INDEX(TB!$A$6:$A$225,MATCH("OTHINC#"&amp;5,TB!$H$6:$H$225,0)),"")</f>
        <v/>
      </c>
      <c r="C21" s="14" t="str">
        <f>IF(B21="","",-1*(INDEX(TB!$B$6:$B$225,MATCH("OTHINC#"&amp;5,TB!$H$6:$H$225,0))-INDEX(TB!$C$6:$C$225,MATCH("OTHINC#"&amp;5,TB!$H$6:$H$225,0)))/RND)</f>
        <v/>
      </c>
      <c r="D21" s="14" t="str">
        <f>IF(B21="","",-1*(INDEX(TB!$D$6:$D$225,MATCH("OTHINC#"&amp;5,TB!$H$6:$H$225,0))-INDEX(TB!$E$6:$E$225,MATCH("OTHINC#"&amp;5,TB!$H$6:$H$225,0)))/RND)</f>
        <v/>
      </c>
    </row>
    <row r="22" spans="2:4" x14ac:dyDescent="0.25">
      <c r="B22" s="4" t="s">
        <v>311</v>
      </c>
      <c r="C22" s="14">
        <f>-1*Calc!$B$29/RND-SUM(C17:C21)</f>
        <v>0</v>
      </c>
      <c r="D22" s="14">
        <f>-1*Calc!$C$29/RND-SUM(D17:D21)</f>
        <v>0</v>
      </c>
    </row>
    <row r="23" spans="2:4" x14ac:dyDescent="0.25">
      <c r="B23" s="7" t="s">
        <v>213</v>
      </c>
      <c r="C23" s="16">
        <f>-1*Calc!$B$29/RND</f>
        <v>0</v>
      </c>
      <c r="D23" s="16">
        <f>-1*Calc!$C$29/RND</f>
        <v>0</v>
      </c>
    </row>
    <row r="25" spans="2:4" x14ac:dyDescent="0.25">
      <c r="B25" s="3" t="s">
        <v>347</v>
      </c>
    </row>
    <row r="26" spans="2:4" x14ac:dyDescent="0.25">
      <c r="B26" s="7" t="s">
        <v>243</v>
      </c>
      <c r="C26" s="7" t="str">
        <f>"Year ended "&amp;TEXT(BSD,"dd mmmm yyyy")</f>
        <v>Year ended 31 March 2026</v>
      </c>
      <c r="D26" s="7" t="str">
        <f>"Year ended "&amp;TEXT(PBSD,"dd mmmm yyyy")</f>
        <v>Year ended 31 March 2025</v>
      </c>
    </row>
    <row r="27" spans="2:4" x14ac:dyDescent="0.25">
      <c r="B27" s="4" t="str">
        <f>IFERROR(INDEX(TB!$A$6:$A$225,MATCH("MATCONS#"&amp;1,TB!$H$6:$H$225,0)),"")</f>
        <v/>
      </c>
      <c r="C27" s="14" t="str">
        <f>IF(B27="","",1*(INDEX(TB!$B$6:$B$225,MATCH("MATCONS#"&amp;1,TB!$H$6:$H$225,0))-INDEX(TB!$C$6:$C$225,MATCH("MATCONS#"&amp;1,TB!$H$6:$H$225,0)))/RND)</f>
        <v/>
      </c>
      <c r="D27" s="14" t="str">
        <f>IF(B27="","",1*(INDEX(TB!$D$6:$D$225,MATCH("MATCONS#"&amp;1,TB!$H$6:$H$225,0))-INDEX(TB!$E$6:$E$225,MATCH("MATCONS#"&amp;1,TB!$H$6:$H$225,0)))/RND)</f>
        <v/>
      </c>
    </row>
    <row r="28" spans="2:4" x14ac:dyDescent="0.25">
      <c r="B28" s="4" t="str">
        <f>IFERROR(INDEX(TB!$A$6:$A$225,MATCH("MATCONS#"&amp;2,TB!$H$6:$H$225,0)),"")</f>
        <v/>
      </c>
      <c r="C28" s="14" t="str">
        <f>IF(B28="","",1*(INDEX(TB!$B$6:$B$225,MATCH("MATCONS#"&amp;2,TB!$H$6:$H$225,0))-INDEX(TB!$C$6:$C$225,MATCH("MATCONS#"&amp;2,TB!$H$6:$H$225,0)))/RND)</f>
        <v/>
      </c>
      <c r="D28" s="14" t="str">
        <f>IF(B28="","",1*(INDEX(TB!$D$6:$D$225,MATCH("MATCONS#"&amp;2,TB!$H$6:$H$225,0))-INDEX(TB!$E$6:$E$225,MATCH("MATCONS#"&amp;2,TB!$H$6:$H$225,0)))/RND)</f>
        <v/>
      </c>
    </row>
    <row r="29" spans="2:4" x14ac:dyDescent="0.25">
      <c r="B29" s="4" t="str">
        <f>IFERROR(INDEX(TB!$A$6:$A$225,MATCH("MATCONS#"&amp;3,TB!$H$6:$H$225,0)),"")</f>
        <v/>
      </c>
      <c r="C29" s="14" t="str">
        <f>IF(B29="","",1*(INDEX(TB!$B$6:$B$225,MATCH("MATCONS#"&amp;3,TB!$H$6:$H$225,0))-INDEX(TB!$C$6:$C$225,MATCH("MATCONS#"&amp;3,TB!$H$6:$H$225,0)))/RND)</f>
        <v/>
      </c>
      <c r="D29" s="14" t="str">
        <f>IF(B29="","",1*(INDEX(TB!$D$6:$D$225,MATCH("MATCONS#"&amp;3,TB!$H$6:$H$225,0))-INDEX(TB!$E$6:$E$225,MATCH("MATCONS#"&amp;3,TB!$H$6:$H$225,0)))/RND)</f>
        <v/>
      </c>
    </row>
    <row r="30" spans="2:4" x14ac:dyDescent="0.25">
      <c r="B30" s="4" t="str">
        <f>IFERROR(INDEX(TB!$A$6:$A$225,MATCH("MATCONS#"&amp;4,TB!$H$6:$H$225,0)),"")</f>
        <v/>
      </c>
      <c r="C30" s="14" t="str">
        <f>IF(B30="","",1*(INDEX(TB!$B$6:$B$225,MATCH("MATCONS#"&amp;4,TB!$H$6:$H$225,0))-INDEX(TB!$C$6:$C$225,MATCH("MATCONS#"&amp;4,TB!$H$6:$H$225,0)))/RND)</f>
        <v/>
      </c>
      <c r="D30" s="14" t="str">
        <f>IF(B30="","",1*(INDEX(TB!$D$6:$D$225,MATCH("MATCONS#"&amp;4,TB!$H$6:$H$225,0))-INDEX(TB!$E$6:$E$225,MATCH("MATCONS#"&amp;4,TB!$H$6:$H$225,0)))/RND)</f>
        <v/>
      </c>
    </row>
    <row r="31" spans="2:4" x14ac:dyDescent="0.25">
      <c r="B31" s="4" t="str">
        <f>IFERROR(INDEX(TB!$A$6:$A$225,MATCH("MATCONS#"&amp;5,TB!$H$6:$H$225,0)),"")</f>
        <v/>
      </c>
      <c r="C31" s="14" t="str">
        <f>IF(B31="","",1*(INDEX(TB!$B$6:$B$225,MATCH("MATCONS#"&amp;5,TB!$H$6:$H$225,0))-INDEX(TB!$C$6:$C$225,MATCH("MATCONS#"&amp;5,TB!$H$6:$H$225,0)))/RND)</f>
        <v/>
      </c>
      <c r="D31" s="14" t="str">
        <f>IF(B31="","",1*(INDEX(TB!$D$6:$D$225,MATCH("MATCONS#"&amp;5,TB!$H$6:$H$225,0))-INDEX(TB!$E$6:$E$225,MATCH("MATCONS#"&amp;5,TB!$H$6:$H$225,0)))/RND)</f>
        <v/>
      </c>
    </row>
    <row r="32" spans="2:4" x14ac:dyDescent="0.25">
      <c r="B32" s="4" t="s">
        <v>311</v>
      </c>
      <c r="C32" s="14">
        <f>1*Calc!$B$30/RND-SUM(C27:C31)</f>
        <v>0</v>
      </c>
      <c r="D32" s="14">
        <f>1*Calc!$C$30/RND-SUM(D27:D31)</f>
        <v>0</v>
      </c>
    </row>
    <row r="33" spans="2:4" x14ac:dyDescent="0.25">
      <c r="B33" s="7" t="s">
        <v>213</v>
      </c>
      <c r="C33" s="16">
        <f>1*Calc!$B$30/RND</f>
        <v>0</v>
      </c>
      <c r="D33" s="16">
        <f>1*Calc!$C$30/RND</f>
        <v>0</v>
      </c>
    </row>
    <row r="35" spans="2:4" x14ac:dyDescent="0.25">
      <c r="B35" s="3" t="s">
        <v>348</v>
      </c>
    </row>
    <row r="36" spans="2:4" x14ac:dyDescent="0.25">
      <c r="B36" s="7" t="s">
        <v>243</v>
      </c>
      <c r="C36" s="7" t="str">
        <f>"Year ended "&amp;TEXT(BSD,"dd mmmm yyyy")</f>
        <v>Year ended 31 March 2026</v>
      </c>
      <c r="D36" s="7" t="str">
        <f>"Year ended "&amp;TEXT(PBSD,"dd mmmm yyyy")</f>
        <v>Year ended 31 March 2025</v>
      </c>
    </row>
    <row r="37" spans="2:4" x14ac:dyDescent="0.25">
      <c r="B37" s="4" t="str">
        <f>IFERROR(INDEX(TB!$A$6:$A$225,MATCH("PURST#"&amp;1,TB!$H$6:$H$225,0)),"")</f>
        <v/>
      </c>
      <c r="C37" s="14" t="str">
        <f>IF(B37="","",1*(INDEX(TB!$B$6:$B$225,MATCH("PURST#"&amp;1,TB!$H$6:$H$225,0))-INDEX(TB!$C$6:$C$225,MATCH("PURST#"&amp;1,TB!$H$6:$H$225,0)))/RND)</f>
        <v/>
      </c>
      <c r="D37" s="14" t="str">
        <f>IF(B37="","",1*(INDEX(TB!$D$6:$D$225,MATCH("PURST#"&amp;1,TB!$H$6:$H$225,0))-INDEX(TB!$E$6:$E$225,MATCH("PURST#"&amp;1,TB!$H$6:$H$225,0)))/RND)</f>
        <v/>
      </c>
    </row>
    <row r="38" spans="2:4" x14ac:dyDescent="0.25">
      <c r="B38" s="4" t="str">
        <f>IFERROR(INDEX(TB!$A$6:$A$225,MATCH("PURST#"&amp;2,TB!$H$6:$H$225,0)),"")</f>
        <v/>
      </c>
      <c r="C38" s="14" t="str">
        <f>IF(B38="","",1*(INDEX(TB!$B$6:$B$225,MATCH("PURST#"&amp;2,TB!$H$6:$H$225,0))-INDEX(TB!$C$6:$C$225,MATCH("PURST#"&amp;2,TB!$H$6:$H$225,0)))/RND)</f>
        <v/>
      </c>
      <c r="D38" s="14" t="str">
        <f>IF(B38="","",1*(INDEX(TB!$D$6:$D$225,MATCH("PURST#"&amp;2,TB!$H$6:$H$225,0))-INDEX(TB!$E$6:$E$225,MATCH("PURST#"&amp;2,TB!$H$6:$H$225,0)))/RND)</f>
        <v/>
      </c>
    </row>
    <row r="39" spans="2:4" x14ac:dyDescent="0.25">
      <c r="B39" s="4" t="str">
        <f>IFERROR(INDEX(TB!$A$6:$A$225,MATCH("PURST#"&amp;3,TB!$H$6:$H$225,0)),"")</f>
        <v/>
      </c>
      <c r="C39" s="14" t="str">
        <f>IF(B39="","",1*(INDEX(TB!$B$6:$B$225,MATCH("PURST#"&amp;3,TB!$H$6:$H$225,0))-INDEX(TB!$C$6:$C$225,MATCH("PURST#"&amp;3,TB!$H$6:$H$225,0)))/RND)</f>
        <v/>
      </c>
      <c r="D39" s="14" t="str">
        <f>IF(B39="","",1*(INDEX(TB!$D$6:$D$225,MATCH("PURST#"&amp;3,TB!$H$6:$H$225,0))-INDEX(TB!$E$6:$E$225,MATCH("PURST#"&amp;3,TB!$H$6:$H$225,0)))/RND)</f>
        <v/>
      </c>
    </row>
    <row r="40" spans="2:4" x14ac:dyDescent="0.25">
      <c r="B40" s="4" t="str">
        <f>IFERROR(INDEX(TB!$A$6:$A$225,MATCH("PURST#"&amp;4,TB!$H$6:$H$225,0)),"")</f>
        <v/>
      </c>
      <c r="C40" s="14" t="str">
        <f>IF(B40="","",1*(INDEX(TB!$B$6:$B$225,MATCH("PURST#"&amp;4,TB!$H$6:$H$225,0))-INDEX(TB!$C$6:$C$225,MATCH("PURST#"&amp;4,TB!$H$6:$H$225,0)))/RND)</f>
        <v/>
      </c>
      <c r="D40" s="14" t="str">
        <f>IF(B40="","",1*(INDEX(TB!$D$6:$D$225,MATCH("PURST#"&amp;4,TB!$H$6:$H$225,0))-INDEX(TB!$E$6:$E$225,MATCH("PURST#"&amp;4,TB!$H$6:$H$225,0)))/RND)</f>
        <v/>
      </c>
    </row>
    <row r="41" spans="2:4" x14ac:dyDescent="0.25">
      <c r="B41" s="4" t="str">
        <f>IFERROR(INDEX(TB!$A$6:$A$225,MATCH("PURST#"&amp;5,TB!$H$6:$H$225,0)),"")</f>
        <v/>
      </c>
      <c r="C41" s="14" t="str">
        <f>IF(B41="","",1*(INDEX(TB!$B$6:$B$225,MATCH("PURST#"&amp;5,TB!$H$6:$H$225,0))-INDEX(TB!$C$6:$C$225,MATCH("PURST#"&amp;5,TB!$H$6:$H$225,0)))/RND)</f>
        <v/>
      </c>
      <c r="D41" s="14" t="str">
        <f>IF(B41="","",1*(INDEX(TB!$D$6:$D$225,MATCH("PURST#"&amp;5,TB!$H$6:$H$225,0))-INDEX(TB!$E$6:$E$225,MATCH("PURST#"&amp;5,TB!$H$6:$H$225,0)))/RND)</f>
        <v/>
      </c>
    </row>
    <row r="42" spans="2:4" x14ac:dyDescent="0.25">
      <c r="B42" s="4" t="s">
        <v>311</v>
      </c>
      <c r="C42" s="14">
        <f>1*Calc!$B$31/RND-SUM(C37:C41)</f>
        <v>0</v>
      </c>
      <c r="D42" s="14">
        <f>1*Calc!$C$31/RND-SUM(D37:D41)</f>
        <v>0</v>
      </c>
    </row>
    <row r="43" spans="2:4" x14ac:dyDescent="0.25">
      <c r="B43" s="7" t="s">
        <v>213</v>
      </c>
      <c r="C43" s="16">
        <f>1*Calc!$B$31/RND</f>
        <v>0</v>
      </c>
      <c r="D43" s="16">
        <f>1*Calc!$C$31/RND</f>
        <v>0</v>
      </c>
    </row>
    <row r="45" spans="2:4" x14ac:dyDescent="0.25">
      <c r="B45" s="3" t="s">
        <v>349</v>
      </c>
    </row>
    <row r="46" spans="2:4" x14ac:dyDescent="0.25">
      <c r="B46" s="7" t="s">
        <v>243</v>
      </c>
      <c r="C46" s="7" t="str">
        <f>"Year ended "&amp;TEXT(BSD,"dd mmmm yyyy")</f>
        <v>Year ended 31 March 2026</v>
      </c>
      <c r="D46" s="7" t="str">
        <f>"Year ended "&amp;TEXT(PBSD,"dd mmmm yyyy")</f>
        <v>Year ended 31 March 2025</v>
      </c>
    </row>
    <row r="47" spans="2:4" x14ac:dyDescent="0.25">
      <c r="B47" s="4" t="str">
        <f>IFERROR(INDEX(TB!$A$6:$A$225,MATCH("CHGINV#"&amp;1,TB!$H$6:$H$225,0)),"")</f>
        <v/>
      </c>
      <c r="C47" s="14" t="str">
        <f>IF(B47="","",1*(INDEX(TB!$B$6:$B$225,MATCH("CHGINV#"&amp;1,TB!$H$6:$H$225,0))-INDEX(TB!$C$6:$C$225,MATCH("CHGINV#"&amp;1,TB!$H$6:$H$225,0)))/RND)</f>
        <v/>
      </c>
      <c r="D47" s="14" t="str">
        <f>IF(B47="","",1*(INDEX(TB!$D$6:$D$225,MATCH("CHGINV#"&amp;1,TB!$H$6:$H$225,0))-INDEX(TB!$E$6:$E$225,MATCH("CHGINV#"&amp;1,TB!$H$6:$H$225,0)))/RND)</f>
        <v/>
      </c>
    </row>
    <row r="48" spans="2:4" x14ac:dyDescent="0.25">
      <c r="B48" s="4" t="str">
        <f>IFERROR(INDEX(TB!$A$6:$A$225,MATCH("CHGINV#"&amp;2,TB!$H$6:$H$225,0)),"")</f>
        <v/>
      </c>
      <c r="C48" s="14" t="str">
        <f>IF(B48="","",1*(INDEX(TB!$B$6:$B$225,MATCH("CHGINV#"&amp;2,TB!$H$6:$H$225,0))-INDEX(TB!$C$6:$C$225,MATCH("CHGINV#"&amp;2,TB!$H$6:$H$225,0)))/RND)</f>
        <v/>
      </c>
      <c r="D48" s="14" t="str">
        <f>IF(B48="","",1*(INDEX(TB!$D$6:$D$225,MATCH("CHGINV#"&amp;2,TB!$H$6:$H$225,0))-INDEX(TB!$E$6:$E$225,MATCH("CHGINV#"&amp;2,TB!$H$6:$H$225,0)))/RND)</f>
        <v/>
      </c>
    </row>
    <row r="49" spans="2:4" x14ac:dyDescent="0.25">
      <c r="B49" s="4" t="str">
        <f>IFERROR(INDEX(TB!$A$6:$A$225,MATCH("CHGINV#"&amp;3,TB!$H$6:$H$225,0)),"")</f>
        <v/>
      </c>
      <c r="C49" s="14" t="str">
        <f>IF(B49="","",1*(INDEX(TB!$B$6:$B$225,MATCH("CHGINV#"&amp;3,TB!$H$6:$H$225,0))-INDEX(TB!$C$6:$C$225,MATCH("CHGINV#"&amp;3,TB!$H$6:$H$225,0)))/RND)</f>
        <v/>
      </c>
      <c r="D49" s="14" t="str">
        <f>IF(B49="","",1*(INDEX(TB!$D$6:$D$225,MATCH("CHGINV#"&amp;3,TB!$H$6:$H$225,0))-INDEX(TB!$E$6:$E$225,MATCH("CHGINV#"&amp;3,TB!$H$6:$H$225,0)))/RND)</f>
        <v/>
      </c>
    </row>
    <row r="50" spans="2:4" x14ac:dyDescent="0.25">
      <c r="B50" s="4" t="str">
        <f>IFERROR(INDEX(TB!$A$6:$A$225,MATCH("CHGINV#"&amp;4,TB!$H$6:$H$225,0)),"")</f>
        <v/>
      </c>
      <c r="C50" s="14" t="str">
        <f>IF(B50="","",1*(INDEX(TB!$B$6:$B$225,MATCH("CHGINV#"&amp;4,TB!$H$6:$H$225,0))-INDEX(TB!$C$6:$C$225,MATCH("CHGINV#"&amp;4,TB!$H$6:$H$225,0)))/RND)</f>
        <v/>
      </c>
      <c r="D50" s="14" t="str">
        <f>IF(B50="","",1*(INDEX(TB!$D$6:$D$225,MATCH("CHGINV#"&amp;4,TB!$H$6:$H$225,0))-INDEX(TB!$E$6:$E$225,MATCH("CHGINV#"&amp;4,TB!$H$6:$H$225,0)))/RND)</f>
        <v/>
      </c>
    </row>
    <row r="51" spans="2:4" x14ac:dyDescent="0.25">
      <c r="B51" s="4" t="str">
        <f>IFERROR(INDEX(TB!$A$6:$A$225,MATCH("CHGINV#"&amp;5,TB!$H$6:$H$225,0)),"")</f>
        <v/>
      </c>
      <c r="C51" s="14" t="str">
        <f>IF(B51="","",1*(INDEX(TB!$B$6:$B$225,MATCH("CHGINV#"&amp;5,TB!$H$6:$H$225,0))-INDEX(TB!$C$6:$C$225,MATCH("CHGINV#"&amp;5,TB!$H$6:$H$225,0)))/RND)</f>
        <v/>
      </c>
      <c r="D51" s="14" t="str">
        <f>IF(B51="","",1*(INDEX(TB!$D$6:$D$225,MATCH("CHGINV#"&amp;5,TB!$H$6:$H$225,0))-INDEX(TB!$E$6:$E$225,MATCH("CHGINV#"&amp;5,TB!$H$6:$H$225,0)))/RND)</f>
        <v/>
      </c>
    </row>
    <row r="52" spans="2:4" x14ac:dyDescent="0.25">
      <c r="B52" s="4" t="s">
        <v>311</v>
      </c>
      <c r="C52" s="14">
        <f>1*Calc!$B$32/RND-SUM(C47:C51)</f>
        <v>0</v>
      </c>
      <c r="D52" s="14">
        <f>1*Calc!$C$32/RND-SUM(D47:D51)</f>
        <v>0</v>
      </c>
    </row>
    <row r="53" spans="2:4" x14ac:dyDescent="0.25">
      <c r="B53" s="7" t="s">
        <v>213</v>
      </c>
      <c r="C53" s="16">
        <f>1*Calc!$B$32/RND</f>
        <v>0</v>
      </c>
      <c r="D53" s="16">
        <f>1*Calc!$C$32/RND</f>
        <v>0</v>
      </c>
    </row>
    <row r="55" spans="2:4" x14ac:dyDescent="0.25">
      <c r="B55" s="3" t="s">
        <v>350</v>
      </c>
    </row>
    <row r="56" spans="2:4" x14ac:dyDescent="0.25">
      <c r="B56" s="7" t="s">
        <v>243</v>
      </c>
      <c r="C56" s="7" t="str">
        <f>"Year ended "&amp;TEXT(BSD,"dd mmmm yyyy")</f>
        <v>Year ended 31 March 2026</v>
      </c>
      <c r="D56" s="7" t="str">
        <f>"Year ended "&amp;TEXT(PBSD,"dd mmmm yyyy")</f>
        <v>Year ended 31 March 2025</v>
      </c>
    </row>
    <row r="57" spans="2:4" x14ac:dyDescent="0.25">
      <c r="B57" s="4" t="str">
        <f>IFERROR(INDEX(TB!$A$6:$A$225,MATCH("EMPB#"&amp;1,TB!$H$6:$H$225,0)),"")</f>
        <v/>
      </c>
      <c r="C57" s="14" t="str">
        <f>IF(B57="","",1*(INDEX(TB!$B$6:$B$225,MATCH("EMPB#"&amp;1,TB!$H$6:$H$225,0))-INDEX(TB!$C$6:$C$225,MATCH("EMPB#"&amp;1,TB!$H$6:$H$225,0)))/RND)</f>
        <v/>
      </c>
      <c r="D57" s="14" t="str">
        <f>IF(B57="","",1*(INDEX(TB!$D$6:$D$225,MATCH("EMPB#"&amp;1,TB!$H$6:$H$225,0))-INDEX(TB!$E$6:$E$225,MATCH("EMPB#"&amp;1,TB!$H$6:$H$225,0)))/RND)</f>
        <v/>
      </c>
    </row>
    <row r="58" spans="2:4" x14ac:dyDescent="0.25">
      <c r="B58" s="4" t="str">
        <f>IFERROR(INDEX(TB!$A$6:$A$225,MATCH("EMPB#"&amp;2,TB!$H$6:$H$225,0)),"")</f>
        <v/>
      </c>
      <c r="C58" s="14" t="str">
        <f>IF(B58="","",1*(INDEX(TB!$B$6:$B$225,MATCH("EMPB#"&amp;2,TB!$H$6:$H$225,0))-INDEX(TB!$C$6:$C$225,MATCH("EMPB#"&amp;2,TB!$H$6:$H$225,0)))/RND)</f>
        <v/>
      </c>
      <c r="D58" s="14" t="str">
        <f>IF(B58="","",1*(INDEX(TB!$D$6:$D$225,MATCH("EMPB#"&amp;2,TB!$H$6:$H$225,0))-INDEX(TB!$E$6:$E$225,MATCH("EMPB#"&amp;2,TB!$H$6:$H$225,0)))/RND)</f>
        <v/>
      </c>
    </row>
    <row r="59" spans="2:4" x14ac:dyDescent="0.25">
      <c r="B59" s="4" t="str">
        <f>IFERROR(INDEX(TB!$A$6:$A$225,MATCH("EMPB#"&amp;3,TB!$H$6:$H$225,0)),"")</f>
        <v/>
      </c>
      <c r="C59" s="14" t="str">
        <f>IF(B59="","",1*(INDEX(TB!$B$6:$B$225,MATCH("EMPB#"&amp;3,TB!$H$6:$H$225,0))-INDEX(TB!$C$6:$C$225,MATCH("EMPB#"&amp;3,TB!$H$6:$H$225,0)))/RND)</f>
        <v/>
      </c>
      <c r="D59" s="14" t="str">
        <f>IF(B59="","",1*(INDEX(TB!$D$6:$D$225,MATCH("EMPB#"&amp;3,TB!$H$6:$H$225,0))-INDEX(TB!$E$6:$E$225,MATCH("EMPB#"&amp;3,TB!$H$6:$H$225,0)))/RND)</f>
        <v/>
      </c>
    </row>
    <row r="60" spans="2:4" x14ac:dyDescent="0.25">
      <c r="B60" s="4" t="str">
        <f>IFERROR(INDEX(TB!$A$6:$A$225,MATCH("EMPB#"&amp;4,TB!$H$6:$H$225,0)),"")</f>
        <v/>
      </c>
      <c r="C60" s="14" t="str">
        <f>IF(B60="","",1*(INDEX(TB!$B$6:$B$225,MATCH("EMPB#"&amp;4,TB!$H$6:$H$225,0))-INDEX(TB!$C$6:$C$225,MATCH("EMPB#"&amp;4,TB!$H$6:$H$225,0)))/RND)</f>
        <v/>
      </c>
      <c r="D60" s="14" t="str">
        <f>IF(B60="","",1*(INDEX(TB!$D$6:$D$225,MATCH("EMPB#"&amp;4,TB!$H$6:$H$225,0))-INDEX(TB!$E$6:$E$225,MATCH("EMPB#"&amp;4,TB!$H$6:$H$225,0)))/RND)</f>
        <v/>
      </c>
    </row>
    <row r="61" spans="2:4" x14ac:dyDescent="0.25">
      <c r="B61" s="4" t="str">
        <f>IFERROR(INDEX(TB!$A$6:$A$225,MATCH("EMPB#"&amp;5,TB!$H$6:$H$225,0)),"")</f>
        <v/>
      </c>
      <c r="C61" s="14" t="str">
        <f>IF(B61="","",1*(INDEX(TB!$B$6:$B$225,MATCH("EMPB#"&amp;5,TB!$H$6:$H$225,0))-INDEX(TB!$C$6:$C$225,MATCH("EMPB#"&amp;5,TB!$H$6:$H$225,0)))/RND)</f>
        <v/>
      </c>
      <c r="D61" s="14" t="str">
        <f>IF(B61="","",1*(INDEX(TB!$D$6:$D$225,MATCH("EMPB#"&amp;5,TB!$H$6:$H$225,0))-INDEX(TB!$E$6:$E$225,MATCH("EMPB#"&amp;5,TB!$H$6:$H$225,0)))/RND)</f>
        <v/>
      </c>
    </row>
    <row r="62" spans="2:4" x14ac:dyDescent="0.25">
      <c r="B62" s="4" t="s">
        <v>311</v>
      </c>
      <c r="C62" s="14">
        <f>1*Calc!$B$33/RND-SUM(C57:C61)</f>
        <v>0</v>
      </c>
      <c r="D62" s="14">
        <f>1*Calc!$C$33/RND-SUM(D57:D61)</f>
        <v>0</v>
      </c>
    </row>
    <row r="63" spans="2:4" x14ac:dyDescent="0.25">
      <c r="B63" s="7" t="s">
        <v>213</v>
      </c>
      <c r="C63" s="16">
        <f>1*Calc!$B$33/RND</f>
        <v>0</v>
      </c>
      <c r="D63" s="16">
        <f>1*Calc!$C$33/RND</f>
        <v>0</v>
      </c>
    </row>
    <row r="65" spans="2:4" x14ac:dyDescent="0.25">
      <c r="B65" s="3" t="s">
        <v>351</v>
      </c>
    </row>
    <row r="66" spans="2:4" x14ac:dyDescent="0.25">
      <c r="B66" s="7" t="s">
        <v>243</v>
      </c>
      <c r="C66" s="7" t="str">
        <f>"Year ended "&amp;TEXT(BSD,"dd mmmm yyyy")</f>
        <v>Year ended 31 March 2026</v>
      </c>
      <c r="D66" s="7" t="str">
        <f>"Year ended "&amp;TEXT(PBSD,"dd mmmm yyyy")</f>
        <v>Year ended 31 March 2025</v>
      </c>
    </row>
    <row r="67" spans="2:4" x14ac:dyDescent="0.25">
      <c r="B67" s="4" t="str">
        <f>IFERROR(INDEX(TB!$A$6:$A$225,MATCH("FINC#"&amp;1,TB!$H$6:$H$225,0)),"")</f>
        <v/>
      </c>
      <c r="C67" s="14" t="str">
        <f>IF(B67="","",1*(INDEX(TB!$B$6:$B$225,MATCH("FINC#"&amp;1,TB!$H$6:$H$225,0))-INDEX(TB!$C$6:$C$225,MATCH("FINC#"&amp;1,TB!$H$6:$H$225,0)))/RND)</f>
        <v/>
      </c>
      <c r="D67" s="14" t="str">
        <f>IF(B67="","",1*(INDEX(TB!$D$6:$D$225,MATCH("FINC#"&amp;1,TB!$H$6:$H$225,0))-INDEX(TB!$E$6:$E$225,MATCH("FINC#"&amp;1,TB!$H$6:$H$225,0)))/RND)</f>
        <v/>
      </c>
    </row>
    <row r="68" spans="2:4" x14ac:dyDescent="0.25">
      <c r="B68" s="4" t="str">
        <f>IFERROR(INDEX(TB!$A$6:$A$225,MATCH("FINC#"&amp;2,TB!$H$6:$H$225,0)),"")</f>
        <v/>
      </c>
      <c r="C68" s="14" t="str">
        <f>IF(B68="","",1*(INDEX(TB!$B$6:$B$225,MATCH("FINC#"&amp;2,TB!$H$6:$H$225,0))-INDEX(TB!$C$6:$C$225,MATCH("FINC#"&amp;2,TB!$H$6:$H$225,0)))/RND)</f>
        <v/>
      </c>
      <c r="D68" s="14" t="str">
        <f>IF(B68="","",1*(INDEX(TB!$D$6:$D$225,MATCH("FINC#"&amp;2,TB!$H$6:$H$225,0))-INDEX(TB!$E$6:$E$225,MATCH("FINC#"&amp;2,TB!$H$6:$H$225,0)))/RND)</f>
        <v/>
      </c>
    </row>
    <row r="69" spans="2:4" x14ac:dyDescent="0.25">
      <c r="B69" s="4" t="str">
        <f>IFERROR(INDEX(TB!$A$6:$A$225,MATCH("FINC#"&amp;3,TB!$H$6:$H$225,0)),"")</f>
        <v/>
      </c>
      <c r="C69" s="14" t="str">
        <f>IF(B69="","",1*(INDEX(TB!$B$6:$B$225,MATCH("FINC#"&amp;3,TB!$H$6:$H$225,0))-INDEX(TB!$C$6:$C$225,MATCH("FINC#"&amp;3,TB!$H$6:$H$225,0)))/RND)</f>
        <v/>
      </c>
      <c r="D69" s="14" t="str">
        <f>IF(B69="","",1*(INDEX(TB!$D$6:$D$225,MATCH("FINC#"&amp;3,TB!$H$6:$H$225,0))-INDEX(TB!$E$6:$E$225,MATCH("FINC#"&amp;3,TB!$H$6:$H$225,0)))/RND)</f>
        <v/>
      </c>
    </row>
    <row r="70" spans="2:4" x14ac:dyDescent="0.25">
      <c r="B70" s="4" t="str">
        <f>IFERROR(INDEX(TB!$A$6:$A$225,MATCH("FINC#"&amp;4,TB!$H$6:$H$225,0)),"")</f>
        <v/>
      </c>
      <c r="C70" s="14" t="str">
        <f>IF(B70="","",1*(INDEX(TB!$B$6:$B$225,MATCH("FINC#"&amp;4,TB!$H$6:$H$225,0))-INDEX(TB!$C$6:$C$225,MATCH("FINC#"&amp;4,TB!$H$6:$H$225,0)))/RND)</f>
        <v/>
      </c>
      <c r="D70" s="14" t="str">
        <f>IF(B70="","",1*(INDEX(TB!$D$6:$D$225,MATCH("FINC#"&amp;4,TB!$H$6:$H$225,0))-INDEX(TB!$E$6:$E$225,MATCH("FINC#"&amp;4,TB!$H$6:$H$225,0)))/RND)</f>
        <v/>
      </c>
    </row>
    <row r="71" spans="2:4" x14ac:dyDescent="0.25">
      <c r="B71" s="4" t="str">
        <f>IFERROR(INDEX(TB!$A$6:$A$225,MATCH("FINC#"&amp;5,TB!$H$6:$H$225,0)),"")</f>
        <v/>
      </c>
      <c r="C71" s="14" t="str">
        <f>IF(B71="","",1*(INDEX(TB!$B$6:$B$225,MATCH("FINC#"&amp;5,TB!$H$6:$H$225,0))-INDEX(TB!$C$6:$C$225,MATCH("FINC#"&amp;5,TB!$H$6:$H$225,0)))/RND)</f>
        <v/>
      </c>
      <c r="D71" s="14" t="str">
        <f>IF(B71="","",1*(INDEX(TB!$D$6:$D$225,MATCH("FINC#"&amp;5,TB!$H$6:$H$225,0))-INDEX(TB!$E$6:$E$225,MATCH("FINC#"&amp;5,TB!$H$6:$H$225,0)))/RND)</f>
        <v/>
      </c>
    </row>
    <row r="72" spans="2:4" x14ac:dyDescent="0.25">
      <c r="B72" s="4" t="s">
        <v>311</v>
      </c>
      <c r="C72" s="14">
        <f>1*Calc!$B$34/RND-SUM(C67:C71)</f>
        <v>0</v>
      </c>
      <c r="D72" s="14">
        <f>1*Calc!$C$34/RND-SUM(D67:D71)</f>
        <v>0</v>
      </c>
    </row>
    <row r="73" spans="2:4" x14ac:dyDescent="0.25">
      <c r="B73" s="7" t="s">
        <v>213</v>
      </c>
      <c r="C73" s="16">
        <f>1*Calc!$B$34/RND</f>
        <v>0</v>
      </c>
      <c r="D73" s="16">
        <f>1*Calc!$C$34/RND</f>
        <v>0</v>
      </c>
    </row>
    <row r="75" spans="2:4" x14ac:dyDescent="0.25">
      <c r="B75" s="3" t="s">
        <v>352</v>
      </c>
    </row>
    <row r="76" spans="2:4" x14ac:dyDescent="0.25">
      <c r="B76" s="7" t="s">
        <v>243</v>
      </c>
      <c r="C76" s="7" t="str">
        <f>"Year ended "&amp;TEXT(BSD,"dd mmmm yyyy")</f>
        <v>Year ended 31 March 2026</v>
      </c>
      <c r="D76" s="7" t="str">
        <f>"Year ended "&amp;TEXT(PBSD,"dd mmmm yyyy")</f>
        <v>Year ended 31 March 2025</v>
      </c>
    </row>
    <row r="77" spans="2:4" x14ac:dyDescent="0.25">
      <c r="B77" s="4" t="str">
        <f>IFERROR(INDEX(TB!$A$6:$A$225,MATCH("OTHEXP#"&amp;1,TB!$H$6:$H$225,0)),"")</f>
        <v/>
      </c>
      <c r="C77" s="14" t="str">
        <f>IF(B77="","",1*(INDEX(TB!$B$6:$B$225,MATCH("OTHEXP#"&amp;1,TB!$H$6:$H$225,0))-INDEX(TB!$C$6:$C$225,MATCH("OTHEXP#"&amp;1,TB!$H$6:$H$225,0)))/RND)</f>
        <v/>
      </c>
      <c r="D77" s="14" t="str">
        <f>IF(B77="","",1*(INDEX(TB!$D$6:$D$225,MATCH("OTHEXP#"&amp;1,TB!$H$6:$H$225,0))-INDEX(TB!$E$6:$E$225,MATCH("OTHEXP#"&amp;1,TB!$H$6:$H$225,0)))/RND)</f>
        <v/>
      </c>
    </row>
    <row r="78" spans="2:4" x14ac:dyDescent="0.25">
      <c r="B78" s="4" t="str">
        <f>IFERROR(INDEX(TB!$A$6:$A$225,MATCH("OTHEXP#"&amp;2,TB!$H$6:$H$225,0)),"")</f>
        <v/>
      </c>
      <c r="C78" s="14" t="str">
        <f>IF(B78="","",1*(INDEX(TB!$B$6:$B$225,MATCH("OTHEXP#"&amp;2,TB!$H$6:$H$225,0))-INDEX(TB!$C$6:$C$225,MATCH("OTHEXP#"&amp;2,TB!$H$6:$H$225,0)))/RND)</f>
        <v/>
      </c>
      <c r="D78" s="14" t="str">
        <f>IF(B78="","",1*(INDEX(TB!$D$6:$D$225,MATCH("OTHEXP#"&amp;2,TB!$H$6:$H$225,0))-INDEX(TB!$E$6:$E$225,MATCH("OTHEXP#"&amp;2,TB!$H$6:$H$225,0)))/RND)</f>
        <v/>
      </c>
    </row>
    <row r="79" spans="2:4" x14ac:dyDescent="0.25">
      <c r="B79" s="4" t="str">
        <f>IFERROR(INDEX(TB!$A$6:$A$225,MATCH("OTHEXP#"&amp;3,TB!$H$6:$H$225,0)),"")</f>
        <v/>
      </c>
      <c r="C79" s="14" t="str">
        <f>IF(B79="","",1*(INDEX(TB!$B$6:$B$225,MATCH("OTHEXP#"&amp;3,TB!$H$6:$H$225,0))-INDEX(TB!$C$6:$C$225,MATCH("OTHEXP#"&amp;3,TB!$H$6:$H$225,0)))/RND)</f>
        <v/>
      </c>
      <c r="D79" s="14" t="str">
        <f>IF(B79="","",1*(INDEX(TB!$D$6:$D$225,MATCH("OTHEXP#"&amp;3,TB!$H$6:$H$225,0))-INDEX(TB!$E$6:$E$225,MATCH("OTHEXP#"&amp;3,TB!$H$6:$H$225,0)))/RND)</f>
        <v/>
      </c>
    </row>
    <row r="80" spans="2:4" x14ac:dyDescent="0.25">
      <c r="B80" s="4" t="str">
        <f>IFERROR(INDEX(TB!$A$6:$A$225,MATCH("OTHEXP#"&amp;4,TB!$H$6:$H$225,0)),"")</f>
        <v/>
      </c>
      <c r="C80" s="14" t="str">
        <f>IF(B80="","",1*(INDEX(TB!$B$6:$B$225,MATCH("OTHEXP#"&amp;4,TB!$H$6:$H$225,0))-INDEX(TB!$C$6:$C$225,MATCH("OTHEXP#"&amp;4,TB!$H$6:$H$225,0)))/RND)</f>
        <v/>
      </c>
      <c r="D80" s="14" t="str">
        <f>IF(B80="","",1*(INDEX(TB!$D$6:$D$225,MATCH("OTHEXP#"&amp;4,TB!$H$6:$H$225,0))-INDEX(TB!$E$6:$E$225,MATCH("OTHEXP#"&amp;4,TB!$H$6:$H$225,0)))/RND)</f>
        <v/>
      </c>
    </row>
    <row r="81" spans="2:4" x14ac:dyDescent="0.25">
      <c r="B81" s="4" t="str">
        <f>IFERROR(INDEX(TB!$A$6:$A$225,MATCH("OTHEXP#"&amp;5,TB!$H$6:$H$225,0)),"")</f>
        <v/>
      </c>
      <c r="C81" s="14" t="str">
        <f>IF(B81="","",1*(INDEX(TB!$B$6:$B$225,MATCH("OTHEXP#"&amp;5,TB!$H$6:$H$225,0))-INDEX(TB!$C$6:$C$225,MATCH("OTHEXP#"&amp;5,TB!$H$6:$H$225,0)))/RND)</f>
        <v/>
      </c>
      <c r="D81" s="14" t="str">
        <f>IF(B81="","",1*(INDEX(TB!$D$6:$D$225,MATCH("OTHEXP#"&amp;5,TB!$H$6:$H$225,0))-INDEX(TB!$E$6:$E$225,MATCH("OTHEXP#"&amp;5,TB!$H$6:$H$225,0)))/RND)</f>
        <v/>
      </c>
    </row>
    <row r="82" spans="2:4" x14ac:dyDescent="0.25">
      <c r="B82" s="4" t="s">
        <v>311</v>
      </c>
      <c r="C82" s="14">
        <f>1*Calc!$B$36/RND-SUM(C77:C81)</f>
        <v>0</v>
      </c>
      <c r="D82" s="14">
        <f>1*Calc!$C$36/RND-SUM(D77:D81)</f>
        <v>0</v>
      </c>
    </row>
    <row r="83" spans="2:4" x14ac:dyDescent="0.25">
      <c r="B83" s="7" t="s">
        <v>213</v>
      </c>
      <c r="C83" s="16">
        <f>1*Calc!$B$36/RND</f>
        <v>0</v>
      </c>
      <c r="D83" s="16">
        <f>1*Calc!$C$36/RND</f>
        <v>0</v>
      </c>
    </row>
    <row r="85" spans="2:4" x14ac:dyDescent="0.25">
      <c r="B85" s="3" t="s">
        <v>353</v>
      </c>
    </row>
    <row r="86" spans="2:4" x14ac:dyDescent="0.25">
      <c r="B86" s="7" t="s">
        <v>243</v>
      </c>
      <c r="C86" s="7" t="str">
        <f>"Year ended "&amp;TEXT(BSD,"dd mmmm yyyy")</f>
        <v>Year ended 31 March 2026</v>
      </c>
      <c r="D86" s="7" t="str">
        <f>"Year ended "&amp;TEXT(PBSD,"dd mmmm yyyy")</f>
        <v>Year ended 31 March 2025</v>
      </c>
    </row>
    <row r="87" spans="2:4" x14ac:dyDescent="0.25">
      <c r="B87" s="4" t="str">
        <f>IFERROR(INDEX(TB!$A$6:$A$225,MATCH("PINT#"&amp;1,TB!$H$6:$H$225,0)),"")</f>
        <v/>
      </c>
      <c r="C87" s="14" t="str">
        <f>IF(B87="","",1*(INDEX(TB!$B$6:$B$225,MATCH("PINT#"&amp;1,TB!$H$6:$H$225,0))-INDEX(TB!$C$6:$C$225,MATCH("PINT#"&amp;1,TB!$H$6:$H$225,0)))/RND)</f>
        <v/>
      </c>
      <c r="D87" s="14" t="str">
        <f>IF(B87="","",1*(INDEX(TB!$D$6:$D$225,MATCH("PINT#"&amp;1,TB!$H$6:$H$225,0))-INDEX(TB!$E$6:$E$225,MATCH("PINT#"&amp;1,TB!$H$6:$H$225,0)))/RND)</f>
        <v/>
      </c>
    </row>
    <row r="88" spans="2:4" x14ac:dyDescent="0.25">
      <c r="B88" s="4" t="str">
        <f>IFERROR(INDEX(TB!$A$6:$A$225,MATCH("PINT#"&amp;2,TB!$H$6:$H$225,0)),"")</f>
        <v/>
      </c>
      <c r="C88" s="14" t="str">
        <f>IF(B88="","",1*(INDEX(TB!$B$6:$B$225,MATCH("PINT#"&amp;2,TB!$H$6:$H$225,0))-INDEX(TB!$C$6:$C$225,MATCH("PINT#"&amp;2,TB!$H$6:$H$225,0)))/RND)</f>
        <v/>
      </c>
      <c r="D88" s="14" t="str">
        <f>IF(B88="","",1*(INDEX(TB!$D$6:$D$225,MATCH("PINT#"&amp;2,TB!$H$6:$H$225,0))-INDEX(TB!$E$6:$E$225,MATCH("PINT#"&amp;2,TB!$H$6:$H$225,0)))/RND)</f>
        <v/>
      </c>
    </row>
    <row r="89" spans="2:4" x14ac:dyDescent="0.25">
      <c r="B89" s="4" t="str">
        <f>IFERROR(INDEX(TB!$A$6:$A$225,MATCH("PINT#"&amp;3,TB!$H$6:$H$225,0)),"")</f>
        <v/>
      </c>
      <c r="C89" s="14" t="str">
        <f>IF(B89="","",1*(INDEX(TB!$B$6:$B$225,MATCH("PINT#"&amp;3,TB!$H$6:$H$225,0))-INDEX(TB!$C$6:$C$225,MATCH("PINT#"&amp;3,TB!$H$6:$H$225,0)))/RND)</f>
        <v/>
      </c>
      <c r="D89" s="14" t="str">
        <f>IF(B89="","",1*(INDEX(TB!$D$6:$D$225,MATCH("PINT#"&amp;3,TB!$H$6:$H$225,0))-INDEX(TB!$E$6:$E$225,MATCH("PINT#"&amp;3,TB!$H$6:$H$225,0)))/RND)</f>
        <v/>
      </c>
    </row>
    <row r="90" spans="2:4" x14ac:dyDescent="0.25">
      <c r="B90" s="4" t="str">
        <f>IFERROR(INDEX(TB!$A$6:$A$225,MATCH("PINT#"&amp;4,TB!$H$6:$H$225,0)),"")</f>
        <v/>
      </c>
      <c r="C90" s="14" t="str">
        <f>IF(B90="","",1*(INDEX(TB!$B$6:$B$225,MATCH("PINT#"&amp;4,TB!$H$6:$H$225,0))-INDEX(TB!$C$6:$C$225,MATCH("PINT#"&amp;4,TB!$H$6:$H$225,0)))/RND)</f>
        <v/>
      </c>
      <c r="D90" s="14" t="str">
        <f>IF(B90="","",1*(INDEX(TB!$D$6:$D$225,MATCH("PINT#"&amp;4,TB!$H$6:$H$225,0))-INDEX(TB!$E$6:$E$225,MATCH("PINT#"&amp;4,TB!$H$6:$H$225,0)))/RND)</f>
        <v/>
      </c>
    </row>
    <row r="91" spans="2:4" x14ac:dyDescent="0.25">
      <c r="B91" s="4" t="str">
        <f>IFERROR(INDEX(TB!$A$6:$A$225,MATCH("PINT#"&amp;5,TB!$H$6:$H$225,0)),"")</f>
        <v/>
      </c>
      <c r="C91" s="14" t="str">
        <f>IF(B91="","",1*(INDEX(TB!$B$6:$B$225,MATCH("PINT#"&amp;5,TB!$H$6:$H$225,0))-INDEX(TB!$C$6:$C$225,MATCH("PINT#"&amp;5,TB!$H$6:$H$225,0)))/RND)</f>
        <v/>
      </c>
      <c r="D91" s="14" t="str">
        <f>IF(B91="","",1*(INDEX(TB!$D$6:$D$225,MATCH("PINT#"&amp;5,TB!$H$6:$H$225,0))-INDEX(TB!$E$6:$E$225,MATCH("PINT#"&amp;5,TB!$H$6:$H$225,0)))/RND)</f>
        <v/>
      </c>
    </row>
    <row r="92" spans="2:4" x14ac:dyDescent="0.25">
      <c r="B92" s="4" t="s">
        <v>311</v>
      </c>
      <c r="C92" s="14">
        <f>1*Calc!$B$38/RND-SUM(C87:C91)</f>
        <v>0</v>
      </c>
      <c r="D92" s="14">
        <f>1*Calc!$C$38/RND-SUM(D87:D91)</f>
        <v>0</v>
      </c>
    </row>
    <row r="93" spans="2:4" x14ac:dyDescent="0.25">
      <c r="B93" s="7" t="s">
        <v>213</v>
      </c>
      <c r="C93" s="16">
        <f>1*Calc!$B$38/RND</f>
        <v>0</v>
      </c>
      <c r="D93" s="16">
        <f>1*Calc!$C$38/RND</f>
        <v>0</v>
      </c>
    </row>
    <row r="95" spans="2:4" x14ac:dyDescent="0.25">
      <c r="B95" s="3" t="s">
        <v>354</v>
      </c>
    </row>
    <row r="96" spans="2:4" x14ac:dyDescent="0.25">
      <c r="B96" s="7" t="s">
        <v>243</v>
      </c>
      <c r="C96" s="7" t="str">
        <f>"Year ended "&amp;TEXT(BSD,"dd mmmm yyyy")</f>
        <v>Year ended 31 March 2026</v>
      </c>
      <c r="D96" s="7" t="str">
        <f>"Year ended "&amp;TEXT(PBSD,"dd mmmm yyyy")</f>
        <v>Year ended 31 March 2025</v>
      </c>
    </row>
    <row r="97" spans="2:4" x14ac:dyDescent="0.25">
      <c r="B97" s="4" t="str">
        <f>IFERROR(INDEX(TB!$A$6:$A$225,MATCH("PREM#"&amp;1,TB!$H$6:$H$225,0)),"")</f>
        <v/>
      </c>
      <c r="C97" s="14" t="str">
        <f>IF(B97="","",1*(INDEX(TB!$B$6:$B$225,MATCH("PREM#"&amp;1,TB!$H$6:$H$225,0))-INDEX(TB!$C$6:$C$225,MATCH("PREM#"&amp;1,TB!$H$6:$H$225,0)))/RND)</f>
        <v/>
      </c>
      <c r="D97" s="14" t="str">
        <f>IF(B97="","",1*(INDEX(TB!$D$6:$D$225,MATCH("PREM#"&amp;1,TB!$H$6:$H$225,0))-INDEX(TB!$E$6:$E$225,MATCH("PREM#"&amp;1,TB!$H$6:$H$225,0)))/RND)</f>
        <v/>
      </c>
    </row>
    <row r="98" spans="2:4" x14ac:dyDescent="0.25">
      <c r="B98" s="4" t="str">
        <f>IFERROR(INDEX(TB!$A$6:$A$225,MATCH("PREM#"&amp;2,TB!$H$6:$H$225,0)),"")</f>
        <v/>
      </c>
      <c r="C98" s="14" t="str">
        <f>IF(B98="","",1*(INDEX(TB!$B$6:$B$225,MATCH("PREM#"&amp;2,TB!$H$6:$H$225,0))-INDEX(TB!$C$6:$C$225,MATCH("PREM#"&amp;2,TB!$H$6:$H$225,0)))/RND)</f>
        <v/>
      </c>
      <c r="D98" s="14" t="str">
        <f>IF(B98="","",1*(INDEX(TB!$D$6:$D$225,MATCH("PREM#"&amp;2,TB!$H$6:$H$225,0))-INDEX(TB!$E$6:$E$225,MATCH("PREM#"&amp;2,TB!$H$6:$H$225,0)))/RND)</f>
        <v/>
      </c>
    </row>
    <row r="99" spans="2:4" x14ac:dyDescent="0.25">
      <c r="B99" s="4" t="str">
        <f>IFERROR(INDEX(TB!$A$6:$A$225,MATCH("PREM#"&amp;3,TB!$H$6:$H$225,0)),"")</f>
        <v/>
      </c>
      <c r="C99" s="14" t="str">
        <f>IF(B99="","",1*(INDEX(TB!$B$6:$B$225,MATCH("PREM#"&amp;3,TB!$H$6:$H$225,0))-INDEX(TB!$C$6:$C$225,MATCH("PREM#"&amp;3,TB!$H$6:$H$225,0)))/RND)</f>
        <v/>
      </c>
      <c r="D99" s="14" t="str">
        <f>IF(B99="","",1*(INDEX(TB!$D$6:$D$225,MATCH("PREM#"&amp;3,TB!$H$6:$H$225,0))-INDEX(TB!$E$6:$E$225,MATCH("PREM#"&amp;3,TB!$H$6:$H$225,0)))/RND)</f>
        <v/>
      </c>
    </row>
    <row r="100" spans="2:4" x14ac:dyDescent="0.25">
      <c r="B100" s="4" t="str">
        <f>IFERROR(INDEX(TB!$A$6:$A$225,MATCH("PREM#"&amp;4,TB!$H$6:$H$225,0)),"")</f>
        <v/>
      </c>
      <c r="C100" s="14" t="str">
        <f>IF(B100="","",1*(INDEX(TB!$B$6:$B$225,MATCH("PREM#"&amp;4,TB!$H$6:$H$225,0))-INDEX(TB!$C$6:$C$225,MATCH("PREM#"&amp;4,TB!$H$6:$H$225,0)))/RND)</f>
        <v/>
      </c>
      <c r="D100" s="14" t="str">
        <f>IF(B100="","",1*(INDEX(TB!$D$6:$D$225,MATCH("PREM#"&amp;4,TB!$H$6:$H$225,0))-INDEX(TB!$E$6:$E$225,MATCH("PREM#"&amp;4,TB!$H$6:$H$225,0)))/RND)</f>
        <v/>
      </c>
    </row>
    <row r="101" spans="2:4" x14ac:dyDescent="0.25">
      <c r="B101" s="4" t="str">
        <f>IFERROR(INDEX(TB!$A$6:$A$225,MATCH("PREM#"&amp;5,TB!$H$6:$H$225,0)),"")</f>
        <v/>
      </c>
      <c r="C101" s="14" t="str">
        <f>IF(B101="","",1*(INDEX(TB!$B$6:$B$225,MATCH("PREM#"&amp;5,TB!$H$6:$H$225,0))-INDEX(TB!$C$6:$C$225,MATCH("PREM#"&amp;5,TB!$H$6:$H$225,0)))/RND)</f>
        <v/>
      </c>
      <c r="D101" s="14" t="str">
        <f>IF(B101="","",1*(INDEX(TB!$D$6:$D$225,MATCH("PREM#"&amp;5,TB!$H$6:$H$225,0))-INDEX(TB!$E$6:$E$225,MATCH("PREM#"&amp;5,TB!$H$6:$H$225,0)))/RND)</f>
        <v/>
      </c>
    </row>
    <row r="102" spans="2:4" x14ac:dyDescent="0.25">
      <c r="B102" s="4" t="s">
        <v>311</v>
      </c>
      <c r="C102" s="14">
        <f>1*Calc!$B$39/RND-SUM(C97:C101)</f>
        <v>0</v>
      </c>
      <c r="D102" s="14">
        <f>1*Calc!$C$39/RND-SUM(D97:D101)</f>
        <v>0</v>
      </c>
    </row>
    <row r="103" spans="2:4" x14ac:dyDescent="0.25">
      <c r="B103" s="7" t="s">
        <v>213</v>
      </c>
      <c r="C103" s="16">
        <f>1*Calc!$B$39/RND</f>
        <v>0</v>
      </c>
      <c r="D103" s="16">
        <f>1*Calc!$C$39/RND</f>
        <v>0</v>
      </c>
    </row>
  </sheetData>
  <pageMargins left="0.75" right="0.75" top="1" bottom="1"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FBFBF"/>
  </sheetPr>
  <dimension ref="B2:B30"/>
  <sheetViews>
    <sheetView showGridLines="0" zoomScaleNormal="100" workbookViewId="0"/>
  </sheetViews>
  <sheetFormatPr defaultColWidth="8.7109375" defaultRowHeight="15" x14ac:dyDescent="0.25"/>
  <cols>
    <col min="2" max="2" width="130" customWidth="1"/>
  </cols>
  <sheetData>
    <row r="2" spans="2:2" ht="18" x14ac:dyDescent="0.25">
      <c r="B2" s="1" t="s">
        <v>355</v>
      </c>
    </row>
    <row r="3" spans="2:2" x14ac:dyDescent="0.25">
      <c r="B3" s="2" t="s">
        <v>356</v>
      </c>
    </row>
    <row r="5" spans="2:2" x14ac:dyDescent="0.25">
      <c r="B5" s="7" t="s">
        <v>357</v>
      </c>
    </row>
    <row r="6" spans="2:2" ht="51.75" customHeight="1" x14ac:dyDescent="0.25">
      <c r="B6" s="19" t="s">
        <v>413</v>
      </c>
    </row>
    <row r="8" spans="2:2" x14ac:dyDescent="0.25">
      <c r="B8" s="7" t="s">
        <v>358</v>
      </c>
    </row>
    <row r="9" spans="2:2" ht="51.75" customHeight="1" x14ac:dyDescent="0.25">
      <c r="B9" s="19" t="s">
        <v>359</v>
      </c>
    </row>
    <row r="11" spans="2:2" x14ac:dyDescent="0.25">
      <c r="B11" s="7" t="s">
        <v>360</v>
      </c>
    </row>
    <row r="12" spans="2:2" ht="51.75" customHeight="1" x14ac:dyDescent="0.25">
      <c r="B12" s="19" t="s">
        <v>414</v>
      </c>
    </row>
    <row r="14" spans="2:2" x14ac:dyDescent="0.25">
      <c r="B14" s="7" t="s">
        <v>361</v>
      </c>
    </row>
    <row r="15" spans="2:2" ht="51.75" customHeight="1" x14ac:dyDescent="0.25">
      <c r="B15" s="19" t="s">
        <v>362</v>
      </c>
    </row>
    <row r="17" spans="2:2" x14ac:dyDescent="0.25">
      <c r="B17" s="7" t="s">
        <v>363</v>
      </c>
    </row>
    <row r="18" spans="2:2" ht="51.75" customHeight="1" x14ac:dyDescent="0.25">
      <c r="B18" s="19" t="s">
        <v>364</v>
      </c>
    </row>
    <row r="20" spans="2:2" x14ac:dyDescent="0.25">
      <c r="B20" s="7" t="s">
        <v>365</v>
      </c>
    </row>
    <row r="21" spans="2:2" ht="51.75" customHeight="1" x14ac:dyDescent="0.25">
      <c r="B21" s="19" t="str">
        <f>IF(ETYPE="Proprietorship","The income of the business is assessable in the hands of the proprietor under the Income-tax Act, 1961. Income tax paid out of the funds of the business, if any, is treated as drawings of the proprietor.","Current tax is measured at the amount expected to be paid under the Income-tax Act, 1961 at the rates applicable to the "&amp;IF(ETYPE="LLP","LLP","firm")&amp;" for the relevant year.")</f>
        <v>Current tax is measured at the amount expected to be paid under the Income-tax Act, 1961 at the rates applicable to the firm for the relevant year.</v>
      </c>
    </row>
    <row r="23" spans="2:2" x14ac:dyDescent="0.25">
      <c r="B23" s="7" t="s">
        <v>366</v>
      </c>
    </row>
    <row r="24" spans="2:2" ht="51.75" customHeight="1" x14ac:dyDescent="0.25">
      <c r="B24" s="19" t="s">
        <v>415</v>
      </c>
    </row>
    <row r="26" spans="2:2" x14ac:dyDescent="0.25">
      <c r="B26" s="7" t="s">
        <v>367</v>
      </c>
    </row>
    <row r="27" spans="2:2" ht="51.75" customHeight="1" x14ac:dyDescent="0.25">
      <c r="B27" s="19" t="s">
        <v>368</v>
      </c>
    </row>
    <row r="29" spans="2:2" x14ac:dyDescent="0.25">
      <c r="B29" s="7" t="s">
        <v>369</v>
      </c>
    </row>
    <row r="30" spans="2:2" ht="51.75" customHeight="1" x14ac:dyDescent="0.25">
      <c r="B30" s="19" t="s">
        <v>370</v>
      </c>
    </row>
  </sheetData>
  <pageMargins left="0.75" right="0.75" top="1" bottom="1"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DD7EE"/>
  </sheetPr>
  <dimension ref="B2:C31"/>
  <sheetViews>
    <sheetView showGridLines="0" zoomScaleNormal="100" workbookViewId="0"/>
  </sheetViews>
  <sheetFormatPr defaultColWidth="8.7109375" defaultRowHeight="15" x14ac:dyDescent="0.25"/>
  <cols>
    <col min="2" max="2" width="66" customWidth="1"/>
    <col min="3" max="3" width="18" customWidth="1"/>
  </cols>
  <sheetData>
    <row r="2" spans="2:3" ht="18" x14ac:dyDescent="0.25">
      <c r="B2" s="1" t="str">
        <f>"Cash Flow Statement (AS 3, indirect method) for the year ended "&amp;TEXT(BSD,"dd mmmm yyyy")</f>
        <v>Cash Flow Statement (AS 3, indirect method) for the year ended 31 March 2026</v>
      </c>
    </row>
    <row r="3" spans="2:3" x14ac:dyDescent="0.25">
      <c r="B3" s="2" t="str">
        <f>IF(Setup!C20="No","Setup says the cash flow statement is NOT included — skip this sheet when printing.",Setup!C5&amp;" — "&amp;Setup!C19)</f>
        <v>Setup says the cash flow statement is NOT included — skip this sheet when printing.</v>
      </c>
    </row>
    <row r="5" spans="2:3" x14ac:dyDescent="0.25">
      <c r="B5" s="7" t="s">
        <v>371</v>
      </c>
    </row>
    <row r="6" spans="2:3" x14ac:dyDescent="0.25">
      <c r="B6" s="4" t="s">
        <v>372</v>
      </c>
      <c r="C6" s="14">
        <f>Calc!$B$44/RND</f>
        <v>0</v>
      </c>
    </row>
    <row r="7" spans="2:3" x14ac:dyDescent="0.25">
      <c r="B7" s="4" t="s">
        <v>373</v>
      </c>
      <c r="C7" s="14">
        <f>Calc!$B$35/RND</f>
        <v>0</v>
      </c>
    </row>
    <row r="8" spans="2:3" x14ac:dyDescent="0.25">
      <c r="B8" s="4" t="s">
        <v>374</v>
      </c>
      <c r="C8" s="14">
        <f>Calc!$B$34/RND</f>
        <v>0</v>
      </c>
    </row>
    <row r="9" spans="2:3" x14ac:dyDescent="0.25">
      <c r="B9" s="4" t="s">
        <v>375</v>
      </c>
      <c r="C9" s="14">
        <f>(Calc!$B$38+Calc!$B$39)/RND</f>
        <v>0</v>
      </c>
    </row>
    <row r="10" spans="2:3" x14ac:dyDescent="0.25">
      <c r="B10" s="4" t="s">
        <v>376</v>
      </c>
      <c r="C10" s="14">
        <f>(Calc!$C$23-Calc!$B$23)/RND</f>
        <v>0</v>
      </c>
    </row>
    <row r="11" spans="2:3" x14ac:dyDescent="0.25">
      <c r="B11" s="4" t="s">
        <v>377</v>
      </c>
      <c r="C11" s="14">
        <f>(Calc!$C$24-Calc!$B$24)/RND</f>
        <v>0</v>
      </c>
    </row>
    <row r="12" spans="2:3" x14ac:dyDescent="0.25">
      <c r="B12" s="4" t="s">
        <v>378</v>
      </c>
      <c r="C12" s="14">
        <f>((Calc!$C$26+Calc!$C$27+Calc!$C$20+Calc!$C$21)-(Calc!$B$26+Calc!$B$27+Calc!$B$20+Calc!$B$21))/RND</f>
        <v>0</v>
      </c>
    </row>
    <row r="13" spans="2:3" x14ac:dyDescent="0.25">
      <c r="B13" s="4" t="s">
        <v>379</v>
      </c>
      <c r="C13" s="14">
        <f>((-Calc!$B$10-Calc!$B$11)-(-Calc!$C$10-Calc!$C$11))/RND</f>
        <v>0</v>
      </c>
    </row>
    <row r="14" spans="2:3" x14ac:dyDescent="0.25">
      <c r="B14" s="4" t="s">
        <v>380</v>
      </c>
      <c r="C14" s="14">
        <f>((-Calc!$B$12-Calc!$B$13-Calc!$B$7-Calc!$B$8)-(-Calc!$C$12-Calc!$C$13-Calc!$C$7-Calc!$C$8))/RND</f>
        <v>0</v>
      </c>
    </row>
    <row r="15" spans="2:3" x14ac:dyDescent="0.25">
      <c r="B15" s="4" t="s">
        <v>381</v>
      </c>
      <c r="C15" s="11">
        <v>0</v>
      </c>
    </row>
    <row r="16" spans="2:3" x14ac:dyDescent="0.25">
      <c r="B16" s="7" t="s">
        <v>382</v>
      </c>
      <c r="C16" s="12">
        <f>SUM(C6:C14)-C15</f>
        <v>0</v>
      </c>
    </row>
    <row r="17" spans="2:3" x14ac:dyDescent="0.25">
      <c r="B17" s="7" t="s">
        <v>383</v>
      </c>
    </row>
    <row r="18" spans="2:3" x14ac:dyDescent="0.25">
      <c r="B18" s="4" t="s">
        <v>384</v>
      </c>
      <c r="C18" s="11">
        <v>0</v>
      </c>
    </row>
    <row r="19" spans="2:3" x14ac:dyDescent="0.25">
      <c r="B19" s="4" t="s">
        <v>385</v>
      </c>
      <c r="C19" s="11">
        <v>0</v>
      </c>
    </row>
    <row r="20" spans="2:3" x14ac:dyDescent="0.25">
      <c r="B20" s="4" t="s">
        <v>386</v>
      </c>
      <c r="C20" s="14">
        <f>((Calc!$C$18+Calc!$C$22)-(Calc!$B$18+Calc!$B$22))/RND</f>
        <v>0</v>
      </c>
    </row>
    <row r="21" spans="2:3" x14ac:dyDescent="0.25">
      <c r="B21" s="7" t="s">
        <v>387</v>
      </c>
      <c r="C21" s="12">
        <f>SUM(C18:C20)</f>
        <v>0</v>
      </c>
    </row>
    <row r="22" spans="2:3" x14ac:dyDescent="0.25">
      <c r="B22" s="7" t="s">
        <v>388</v>
      </c>
    </row>
    <row r="23" spans="2:3" x14ac:dyDescent="0.25">
      <c r="B23" s="4" t="s">
        <v>389</v>
      </c>
      <c r="C23" s="14">
        <f>(Capital!D12-Capital!G12)/RND</f>
        <v>0</v>
      </c>
    </row>
    <row r="24" spans="2:3" x14ac:dyDescent="0.25">
      <c r="B24" s="4" t="s">
        <v>390</v>
      </c>
      <c r="C24" s="14">
        <f>((-Calc!$B$4-Calc!$B$9-Calc!$B$5)-(-Calc!$C$4-Calc!$C$9-Calc!$C$5))/RND</f>
        <v>0</v>
      </c>
    </row>
    <row r="25" spans="2:3" x14ac:dyDescent="0.25">
      <c r="B25" s="4" t="s">
        <v>391</v>
      </c>
      <c r="C25" s="14">
        <f>-Calc!$B$34/RND</f>
        <v>0</v>
      </c>
    </row>
    <row r="26" spans="2:3" x14ac:dyDescent="0.25">
      <c r="B26" s="7" t="s">
        <v>392</v>
      </c>
      <c r="C26" s="12">
        <f>SUM(C23:C25)</f>
        <v>0</v>
      </c>
    </row>
    <row r="27" spans="2:3" x14ac:dyDescent="0.25">
      <c r="B27" s="7" t="s">
        <v>393</v>
      </c>
      <c r="C27" s="12">
        <f>C16+C21+C26</f>
        <v>0</v>
      </c>
    </row>
    <row r="28" spans="2:3" x14ac:dyDescent="0.25">
      <c r="B28" s="4" t="s">
        <v>394</v>
      </c>
      <c r="C28" s="14">
        <f>Calc!$C$25/RND</f>
        <v>0</v>
      </c>
    </row>
    <row r="29" spans="2:3" x14ac:dyDescent="0.25">
      <c r="B29" s="7" t="s">
        <v>395</v>
      </c>
      <c r="C29" s="12">
        <f>C27+C28</f>
        <v>0</v>
      </c>
    </row>
    <row r="30" spans="2:3" x14ac:dyDescent="0.25">
      <c r="B30" s="4" t="s">
        <v>396</v>
      </c>
      <c r="C30" s="14">
        <f>Calc!$B$25/RND</f>
        <v>0</v>
      </c>
    </row>
    <row r="31" spans="2:3" x14ac:dyDescent="0.25">
      <c r="B31" s="7" t="s">
        <v>397</v>
      </c>
      <c r="C31" s="12">
        <f>C29-C30</f>
        <v>0</v>
      </c>
    </row>
  </sheetData>
  <pageMargins left="0.75" right="0.75" top="1" bottom="1"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2:D16"/>
  <sheetViews>
    <sheetView showGridLines="0" zoomScaleNormal="100" workbookViewId="0"/>
  </sheetViews>
  <sheetFormatPr defaultColWidth="8.7109375" defaultRowHeight="15" x14ac:dyDescent="0.25"/>
  <cols>
    <col min="2" max="2" width="62" customWidth="1"/>
    <col min="3" max="3" width="18" customWidth="1"/>
    <col min="4" max="4" width="12" customWidth="1"/>
  </cols>
  <sheetData>
    <row r="2" spans="2:4" ht="18" x14ac:dyDescent="0.25">
      <c r="B2" s="1" t="s">
        <v>398</v>
      </c>
    </row>
    <row r="4" spans="2:4" x14ac:dyDescent="0.25">
      <c r="B4" s="9" t="s">
        <v>399</v>
      </c>
      <c r="C4" s="9" t="s">
        <v>400</v>
      </c>
      <c r="D4" s="9" t="s">
        <v>401</v>
      </c>
    </row>
    <row r="5" spans="2:4" x14ac:dyDescent="0.25">
      <c r="B5" s="4" t="s">
        <v>402</v>
      </c>
      <c r="C5" s="14">
        <f>TB!B227</f>
        <v>0</v>
      </c>
      <c r="D5" s="7" t="str">
        <f t="shared" ref="D5:D14" si="0">IF(ROUND(ABS(C5),2)&lt;=0.01,"PASS","CHECK")</f>
        <v>PASS</v>
      </c>
    </row>
    <row r="6" spans="2:4" x14ac:dyDescent="0.25">
      <c r="B6" s="4" t="s">
        <v>403</v>
      </c>
      <c r="C6" s="14">
        <f>TB!D227</f>
        <v>0</v>
      </c>
      <c r="D6" s="7" t="str">
        <f t="shared" si="0"/>
        <v>PASS</v>
      </c>
    </row>
    <row r="7" spans="2:4" x14ac:dyDescent="0.25">
      <c r="B7" s="4" t="s">
        <v>404</v>
      </c>
      <c r="C7" s="14">
        <f>TB!B228</f>
        <v>0</v>
      </c>
      <c r="D7" s="7" t="str">
        <f t="shared" si="0"/>
        <v>PASS</v>
      </c>
    </row>
    <row r="8" spans="2:4" x14ac:dyDescent="0.25">
      <c r="B8" s="4" t="s">
        <v>405</v>
      </c>
      <c r="C8" s="14">
        <f>BS!D45</f>
        <v>0</v>
      </c>
      <c r="D8" s="7" t="str">
        <f t="shared" si="0"/>
        <v>PASS</v>
      </c>
    </row>
    <row r="9" spans="2:4" x14ac:dyDescent="0.25">
      <c r="B9" s="4" t="s">
        <v>406</v>
      </c>
      <c r="C9" s="14">
        <f>BS!E45</f>
        <v>0</v>
      </c>
      <c r="D9" s="7" t="str">
        <f t="shared" si="0"/>
        <v>PASS</v>
      </c>
    </row>
    <row r="10" spans="2:4" x14ac:dyDescent="0.25">
      <c r="B10" s="4" t="s">
        <v>407</v>
      </c>
      <c r="C10" s="14">
        <f>Capital!I14</f>
        <v>0</v>
      </c>
      <c r="D10" s="7" t="str">
        <f t="shared" si="0"/>
        <v>PASS</v>
      </c>
    </row>
    <row r="11" spans="2:4" x14ac:dyDescent="0.25">
      <c r="B11" s="4" t="s">
        <v>408</v>
      </c>
      <c r="C11" s="14">
        <f>IF(Capital!B12=0,0,Capital!B12-100)</f>
        <v>0</v>
      </c>
      <c r="D11" s="7" t="str">
        <f t="shared" si="0"/>
        <v>PASS</v>
      </c>
    </row>
    <row r="12" spans="2:4" x14ac:dyDescent="0.25">
      <c r="B12" s="4" t="s">
        <v>409</v>
      </c>
      <c r="C12" s="14">
        <f>PL!D26-Calc!$B$45/RND</f>
        <v>0</v>
      </c>
      <c r="D12" s="7" t="str">
        <f t="shared" si="0"/>
        <v>PASS</v>
      </c>
    </row>
    <row r="13" spans="2:4" x14ac:dyDescent="0.25">
      <c r="B13" s="4" t="s">
        <v>410</v>
      </c>
      <c r="C13" s="14">
        <f>IF(Dep!G16=0,0,Dep!G16-Calc!$B$35)</f>
        <v>0</v>
      </c>
      <c r="D13" s="7" t="str">
        <f t="shared" si="0"/>
        <v>PASS</v>
      </c>
    </row>
    <row r="14" spans="2:4" x14ac:dyDescent="0.25">
      <c r="B14" s="4" t="s">
        <v>411</v>
      </c>
      <c r="C14" s="14">
        <f>IF(Setup!C20="No",0,CashFlow!C31)</f>
        <v>0</v>
      </c>
      <c r="D14" s="7" t="str">
        <f t="shared" si="0"/>
        <v>PASS</v>
      </c>
    </row>
    <row r="16" spans="2:4" x14ac:dyDescent="0.25">
      <c r="B16" s="7" t="s">
        <v>412</v>
      </c>
      <c r="C16" s="7" t="str">
        <f>IF(COUNTIF(D5:D14,"CHECK")=0,"ALL PASS","REVIEW ROWS MARKED CHECK")</f>
        <v>ALL PASS</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14</vt:i4>
      </vt:variant>
      <vt:variant>
        <vt:lpstr>Named Ranges</vt:lpstr>
      </vt:variant>
      <vt:variant>
        <vt:i4>7</vt:i4>
      </vt:variant>
    </vt:vector>
  </HeadingPairs>
  <TitlesOfParts>
    <vt:vector size="21" baseType="lpstr">
      <vt:lpstr>Setup</vt:lpstr>
      <vt:lpstr>Map Guide</vt:lpstr>
      <vt:lpstr>Map</vt:lpstr>
      <vt:lpstr>TB</vt:lpstr>
      <vt:lpstr>Calc</vt:lpstr>
      <vt:lpstr>Capital</vt:lpstr>
      <vt:lpstr>Dep</vt:lpstr>
      <vt:lpstr>BS</vt:lpstr>
      <vt:lpstr>PL</vt:lpstr>
      <vt:lpstr>Notes-BS</vt:lpstr>
      <vt:lpstr>Notes-PL</vt:lpstr>
      <vt:lpstr>Policies</vt:lpstr>
      <vt:lpstr>CashFlow</vt:lpstr>
      <vt:lpstr>Checks</vt:lpstr>
      <vt:lpstr>BSD</vt:lpstr>
      <vt:lpstr>CAPLBL</vt:lpstr>
      <vt:lpstr>ETYPE</vt:lpstr>
      <vt:lpstr>PBSD</vt:lpstr>
      <vt:lpstr>RND</vt:lpstr>
      <vt:lpstr>SIGTTL</vt:lpstr>
      <vt:lpstr>XFRLBL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description/>
  <cp:lastModifiedBy>MyPC</cp:lastModifiedBy>
  <cp:revision>0</cp:revision>
  <dcterms:created xsi:type="dcterms:W3CDTF">2026-07-29T05:26:03Z</dcterms:created>
  <dcterms:modified xsi:type="dcterms:W3CDTF">2026-09-14T07:58:42Z</dcterms:modified>
  <dc:language>en-US</dc:language>
</cp:coreProperties>
</file>